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SEGUIMIENTO MAPA DE RIESGOS OCI 2CUAT - Publicar\"/>
    </mc:Choice>
  </mc:AlternateContent>
  <bookViews>
    <workbookView xWindow="0" yWindow="0" windowWidth="28800" windowHeight="12135" tabRatio="882" firstSheet="1" activeTab="1"/>
  </bookViews>
  <sheets>
    <sheet name="Intructivo" sheetId="20" state="hidden" r:id="rId1"/>
    <sheet name="Mapa final"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 l="1"/>
  <c r="T24" i="1"/>
  <c r="Q28" i="1" l="1"/>
  <c r="T10" i="1"/>
  <c r="Q10" i="1"/>
  <c r="H10" i="1"/>
  <c r="I10" i="1" s="1"/>
  <c r="K67" i="1"/>
  <c r="K29" i="1"/>
  <c r="K21" i="1"/>
  <c r="K33" i="1"/>
  <c r="K56" i="1"/>
  <c r="K66" i="1"/>
  <c r="K50" i="1"/>
  <c r="K24" i="1"/>
  <c r="K54" i="1"/>
  <c r="K47" i="1"/>
  <c r="K31" i="1"/>
  <c r="K19" i="1"/>
  <c r="K62" i="1"/>
  <c r="K51" i="1"/>
  <c r="K61" i="1"/>
  <c r="K30" i="1"/>
  <c r="K48" i="1"/>
  <c r="K25" i="1"/>
  <c r="K68" i="1"/>
  <c r="K63" i="1"/>
  <c r="K32" i="1"/>
  <c r="K20" i="1"/>
  <c r="K17" i="1"/>
  <c r="K23" i="1"/>
  <c r="K55" i="1"/>
  <c r="K69" i="1"/>
  <c r="K26" i="1"/>
  <c r="K65" i="1"/>
  <c r="K57" i="1"/>
  <c r="K53" i="1"/>
  <c r="K49" i="1"/>
  <c r="K18" i="1"/>
  <c r="K60" i="1"/>
  <c r="K59" i="1"/>
  <c r="K27" i="1"/>
  <c r="F221" i="13" l="1"/>
  <c r="F211" i="13"/>
  <c r="F212" i="13"/>
  <c r="F213" i="13"/>
  <c r="F214" i="13"/>
  <c r="F215" i="13"/>
  <c r="F216" i="13"/>
  <c r="F217" i="13"/>
  <c r="F218" i="13"/>
  <c r="F219" i="13"/>
  <c r="F220" i="13"/>
  <c r="F210" i="13"/>
  <c r="B221" i="13" a="1"/>
  <c r="K13" i="1"/>
  <c r="K12" i="1"/>
  <c r="K14" i="1"/>
  <c r="K15" i="1"/>
  <c r="K11" i="1"/>
  <c r="B221" i="13" l="1"/>
  <c r="Q52" i="1"/>
  <c r="Q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33" i="1"/>
  <c r="Q33" i="1"/>
  <c r="T32" i="1"/>
  <c r="Q32" i="1"/>
  <c r="T30" i="1"/>
  <c r="Q30" i="1"/>
  <c r="T29" i="1"/>
  <c r="Q29" i="1"/>
  <c r="T28" i="1"/>
  <c r="H28" i="1"/>
  <c r="I28" i="1" s="1"/>
  <c r="T27" i="1"/>
  <c r="Q27" i="1"/>
  <c r="T26" i="1"/>
  <c r="Q26" i="1"/>
  <c r="T25" i="1"/>
  <c r="Q25" i="1"/>
  <c r="T23" i="1"/>
  <c r="Q23" i="1"/>
  <c r="T22" i="1"/>
  <c r="Q22" i="1"/>
  <c r="H22" i="1"/>
  <c r="I22" i="1" s="1"/>
  <c r="H16" i="1"/>
  <c r="Q15" i="1"/>
  <c r="Q14" i="1"/>
  <c r="Q13" i="1"/>
  <c r="T21" i="1"/>
  <c r="Q21" i="1"/>
  <c r="T20" i="1"/>
  <c r="Q20" i="1"/>
  <c r="T19" i="1"/>
  <c r="Q19" i="1"/>
  <c r="T18" i="1"/>
  <c r="Q18" i="1"/>
  <c r="T17" i="1"/>
  <c r="Q17" i="1"/>
  <c r="T16" i="1"/>
  <c r="Q16" i="1"/>
  <c r="AB65" i="1" l="1"/>
  <c r="AB59" i="1"/>
  <c r="AB50" i="1"/>
  <c r="AA50" i="1" s="1"/>
  <c r="AB51" i="1"/>
  <c r="AA51" i="1" s="1"/>
  <c r="I16" i="1"/>
  <c r="X16" i="1" s="1"/>
  <c r="X64" i="1"/>
  <c r="X58" i="1"/>
  <c r="X52" i="1"/>
  <c r="X46" i="1"/>
  <c r="X50" i="1"/>
  <c r="X51" i="1"/>
  <c r="X28" i="1"/>
  <c r="X22" i="1"/>
  <c r="Y64" i="1" l="1"/>
  <c r="Z64" i="1"/>
  <c r="X65" i="1" s="1"/>
  <c r="Y65" i="1" s="1"/>
  <c r="Y58" i="1"/>
  <c r="Z58" i="1"/>
  <c r="X59" i="1" s="1"/>
  <c r="Z59" i="1" s="1"/>
  <c r="X60" i="1" s="1"/>
  <c r="Y52" i="1"/>
  <c r="Z52" i="1"/>
  <c r="X53" i="1" s="1"/>
  <c r="Z53" i="1" s="1"/>
  <c r="X54" i="1" s="1"/>
  <c r="Y51" i="1"/>
  <c r="Z51" i="1"/>
  <c r="Y50" i="1"/>
  <c r="Z50" i="1"/>
  <c r="Y46" i="1"/>
  <c r="Z46" i="1"/>
  <c r="Y28" i="1"/>
  <c r="Z28" i="1"/>
  <c r="X29" i="1" s="1"/>
  <c r="Z29" i="1" s="1"/>
  <c r="X30" i="1" s="1"/>
  <c r="Y30" i="1" s="1"/>
  <c r="Y22" i="1"/>
  <c r="Z22" i="1"/>
  <c r="X23" i="1" s="1"/>
  <c r="Y23" i="1" s="1"/>
  <c r="Y16" i="1"/>
  <c r="Z16" i="1"/>
  <c r="X17" i="1" s="1"/>
  <c r="Y59" i="1" l="1"/>
  <c r="Y53" i="1"/>
  <c r="Z23" i="1"/>
  <c r="X24" i="1" s="1"/>
  <c r="Y29" i="1"/>
  <c r="Z60" i="1"/>
  <c r="X61" i="1" s="1"/>
  <c r="Y60" i="1"/>
  <c r="Z54" i="1"/>
  <c r="X55" i="1" s="1"/>
  <c r="Y54" i="1"/>
  <c r="Z65" i="1"/>
  <c r="X66" i="1" s="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3" i="1"/>
  <c r="T14" i="1"/>
  <c r="T15" i="1"/>
  <c r="Y24" i="1" l="1"/>
  <c r="Z24" i="1"/>
  <c r="Y61" i="1"/>
  <c r="Z61" i="1"/>
  <c r="Y55" i="1"/>
  <c r="Z55" i="1"/>
  <c r="X56" i="1" s="1"/>
  <c r="X25" i="1"/>
  <c r="Z25" i="1" s="1"/>
  <c r="Y48" i="1"/>
  <c r="Z48" i="1"/>
  <c r="X49" i="1" s="1"/>
  <c r="Y66" i="1"/>
  <c r="Z66" i="1"/>
  <c r="X67" i="1" s="1"/>
  <c r="Y47" i="1"/>
  <c r="Z47" i="1"/>
  <c r="X32" i="1"/>
  <c r="Y32" i="1" s="1"/>
  <c r="Y17" i="1"/>
  <c r="Z17" i="1"/>
  <c r="X18" i="1" s="1"/>
  <c r="Y18" i="1" s="1"/>
  <c r="Y56" i="1" l="1"/>
  <c r="Z56" i="1"/>
  <c r="X57" i="1" s="1"/>
  <c r="X62" i="1"/>
  <c r="X63" i="1"/>
  <c r="Y25" i="1"/>
  <c r="Y49" i="1"/>
  <c r="Z49" i="1"/>
  <c r="X26" i="1"/>
  <c r="Z67" i="1"/>
  <c r="Y67" i="1"/>
  <c r="Z32" i="1"/>
  <c r="X33" i="1" s="1"/>
  <c r="Z18" i="1"/>
  <c r="X19" i="1" s="1"/>
  <c r="Y19" i="1" s="1"/>
  <c r="Y63" i="1" l="1"/>
  <c r="Z63" i="1"/>
  <c r="Y62" i="1"/>
  <c r="Z62" i="1"/>
  <c r="Y57" i="1"/>
  <c r="Z57" i="1"/>
  <c r="X68" i="1"/>
  <c r="X69" i="1"/>
  <c r="Y26" i="1"/>
  <c r="Z26" i="1"/>
  <c r="X27" i="1" s="1"/>
  <c r="Y27" i="1" s="1"/>
  <c r="Y33" i="1"/>
  <c r="Z33" i="1"/>
  <c r="Z19" i="1"/>
  <c r="X20" i="1" s="1"/>
  <c r="Z20" i="1" s="1"/>
  <c r="X21" i="1" s="1"/>
  <c r="X10" i="1"/>
  <c r="Y10" i="1" s="1"/>
  <c r="Y69" i="1" l="1"/>
  <c r="Z69" i="1"/>
  <c r="Y68" i="1"/>
  <c r="Z68" i="1"/>
  <c r="Z27" i="1"/>
  <c r="Y20" i="1"/>
  <c r="Y21" i="1"/>
  <c r="Z21" i="1"/>
  <c r="Q11" i="1"/>
  <c r="Z10" i="1" l="1"/>
  <c r="X11" i="1" s="1"/>
  <c r="Y11" i="1" l="1"/>
  <c r="Z11" i="1" l="1"/>
  <c r="X13" i="1" l="1"/>
  <c r="Z13" i="1" s="1"/>
  <c r="X14" i="1" s="1"/>
  <c r="Y14" i="1" l="1"/>
  <c r="Z14" i="1"/>
  <c r="X15" i="1" s="1"/>
  <c r="Y13" i="1"/>
  <c r="Y15" i="1" l="1"/>
  <c r="Z15" i="1"/>
  <c r="AB66" i="1" l="1"/>
  <c r="AB58" i="1"/>
  <c r="AB52" i="1"/>
  <c r="AA52" i="1" s="1"/>
  <c r="AB46" i="1"/>
  <c r="AA46"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B19"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B13" i="1"/>
  <c r="AA13" i="1" s="1"/>
  <c r="AB14" i="1"/>
  <c r="AA14" i="1" l="1"/>
  <c r="AB15" i="1"/>
  <c r="AA15" i="1" s="1"/>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61" i="1"/>
  <c r="AB62" i="1"/>
  <c r="AB32" i="1"/>
  <c r="AA32" i="1" s="1"/>
  <c r="AB33" i="1"/>
  <c r="AA33" i="1" s="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G39" i="19" l="1"/>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K10" i="1" l="1"/>
  <c r="L10" i="1" s="1"/>
  <c r="K28" i="1"/>
  <c r="L28" i="1" s="1"/>
  <c r="K22" i="1"/>
  <c r="L22" i="1" s="1"/>
  <c r="K52" i="1"/>
  <c r="L52" i="1" s="1"/>
  <c r="K46" i="1"/>
  <c r="L46" i="1" s="1"/>
  <c r="K16" i="1"/>
  <c r="L16" i="1" s="1"/>
  <c r="K64" i="1"/>
  <c r="L64" i="1" s="1"/>
  <c r="K58" i="1"/>
  <c r="L58" i="1" s="1"/>
  <c r="X6" i="18" l="1"/>
  <c r="AJ30" i="18"/>
  <c r="R22" i="18"/>
  <c r="L6" i="18"/>
  <c r="R30" i="18"/>
  <c r="X22" i="18"/>
  <c r="X38" i="18"/>
  <c r="AD38" i="18"/>
  <c r="N16" i="1"/>
  <c r="AD22" i="18"/>
  <c r="M16" i="1"/>
  <c r="AB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AA10" i="1" l="1"/>
  <c r="AB11" i="1"/>
  <c r="AA16" i="1"/>
  <c r="AC16" i="1" s="1"/>
  <c r="AB17" i="1"/>
  <c r="AA22" i="1"/>
  <c r="V48" i="19" s="1"/>
  <c r="AB23" i="1"/>
  <c r="AA28" i="1"/>
  <c r="V9" i="19" s="1"/>
  <c r="AB29" i="1"/>
  <c r="AB28" i="19"/>
  <c r="AH28" i="19"/>
  <c r="P28" i="19"/>
  <c r="J8" i="19"/>
  <c r="AH48" i="19"/>
  <c r="AB48" i="19"/>
  <c r="V8" i="19"/>
  <c r="AC22" i="1"/>
  <c r="AH38" i="19"/>
  <c r="AH8" i="19"/>
  <c r="J38"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P8" i="19" l="1"/>
  <c r="AB8" i="19"/>
  <c r="V38" i="19"/>
  <c r="J17" i="19"/>
  <c r="P48" i="19"/>
  <c r="J48" i="19"/>
  <c r="AH18" i="19"/>
  <c r="AB38" i="19"/>
  <c r="P38" i="19"/>
  <c r="P18" i="19"/>
  <c r="J18" i="19"/>
  <c r="J28" i="19"/>
  <c r="V28" i="19"/>
  <c r="V17" i="19"/>
  <c r="AB18" i="19"/>
  <c r="V18" i="19"/>
  <c r="V7" i="19"/>
  <c r="AA23" i="1"/>
  <c r="K28" i="19" s="1"/>
  <c r="AB24" i="1"/>
  <c r="AA24" i="1" s="1"/>
  <c r="AB7" i="19"/>
  <c r="AA11" i="1"/>
  <c r="AC26" i="19" s="1"/>
  <c r="J37" i="19"/>
  <c r="AH39" i="19"/>
  <c r="J9" i="19"/>
  <c r="V27" i="19"/>
  <c r="AB21" i="19"/>
  <c r="AB31" i="19"/>
  <c r="V21" i="19"/>
  <c r="J11" i="19"/>
  <c r="J21" i="19"/>
  <c r="P31" i="19"/>
  <c r="AB51" i="19"/>
  <c r="AH31" i="19"/>
  <c r="AB11" i="19"/>
  <c r="V11" i="19"/>
  <c r="P11" i="19"/>
  <c r="J31" i="19"/>
  <c r="P21" i="19"/>
  <c r="V51" i="19"/>
  <c r="J41" i="19"/>
  <c r="AB41" i="19"/>
  <c r="V41" i="19"/>
  <c r="J51" i="19"/>
  <c r="AH51" i="19"/>
  <c r="AH11" i="19"/>
  <c r="P41" i="19"/>
  <c r="V31" i="19"/>
  <c r="P51" i="19"/>
  <c r="AH41" i="19"/>
  <c r="AH21" i="19"/>
  <c r="P27" i="19"/>
  <c r="AB17" i="19"/>
  <c r="P7" i="19"/>
  <c r="AB39" i="19"/>
  <c r="AA17" i="1"/>
  <c r="AB18" i="1"/>
  <c r="AA18" i="1" s="1"/>
  <c r="P47" i="19"/>
  <c r="P37" i="19"/>
  <c r="J49" i="19"/>
  <c r="AB37" i="19"/>
  <c r="AH37" i="19"/>
  <c r="AB47" i="19"/>
  <c r="J27" i="19"/>
  <c r="AC28" i="1"/>
  <c r="V20" i="19"/>
  <c r="P50" i="19"/>
  <c r="V10" i="19"/>
  <c r="P30" i="19"/>
  <c r="J30" i="19"/>
  <c r="AH10" i="19"/>
  <c r="AB10" i="19"/>
  <c r="P20" i="19"/>
  <c r="P10" i="19"/>
  <c r="AH30" i="19"/>
  <c r="J20" i="19"/>
  <c r="AH20" i="19"/>
  <c r="V50" i="19"/>
  <c r="AB50" i="19"/>
  <c r="AH40" i="19"/>
  <c r="P40" i="19"/>
  <c r="V40" i="19"/>
  <c r="AH50" i="19"/>
  <c r="J40" i="19"/>
  <c r="J50" i="19"/>
  <c r="J10" i="19"/>
  <c r="V30" i="19"/>
  <c r="AB40" i="19"/>
  <c r="AB20" i="19"/>
  <c r="AB30" i="19"/>
  <c r="J7" i="19"/>
  <c r="AH17" i="19"/>
  <c r="AB27" i="19"/>
  <c r="AH47" i="19"/>
  <c r="AH7" i="19"/>
  <c r="V47" i="19"/>
  <c r="J47" i="19"/>
  <c r="AH27" i="19"/>
  <c r="V29" i="19"/>
  <c r="K18" i="19"/>
  <c r="AC28" i="19"/>
  <c r="W8" i="19"/>
  <c r="W38" i="19"/>
  <c r="K38" i="19"/>
  <c r="AI8" i="19"/>
  <c r="W18" i="19"/>
  <c r="AI48" i="19"/>
  <c r="Q8" i="19"/>
  <c r="AC48" i="19"/>
  <c r="Q18" i="19"/>
  <c r="Q48" i="19"/>
  <c r="W48" i="19"/>
  <c r="AI38" i="19"/>
  <c r="AI18" i="19"/>
  <c r="AC18" i="19"/>
  <c r="K8" i="19"/>
  <c r="K46" i="19"/>
  <c r="AI46" i="19"/>
  <c r="AC46" i="19"/>
  <c r="Q46" i="19"/>
  <c r="AI36" i="19"/>
  <c r="W36" i="19"/>
  <c r="W16" i="19"/>
  <c r="K36" i="19"/>
  <c r="Q26" i="19"/>
  <c r="AI26" i="19"/>
  <c r="AC36" i="19"/>
  <c r="AC11" i="1"/>
  <c r="Q6" i="19"/>
  <c r="K6" i="19"/>
  <c r="Q16" i="19"/>
  <c r="K26" i="19"/>
  <c r="AC6" i="19"/>
  <c r="AI6" i="19"/>
  <c r="AI16" i="19"/>
  <c r="Q36" i="19"/>
  <c r="W6" i="19"/>
  <c r="W26" i="19"/>
  <c r="W46" i="19"/>
  <c r="K16" i="19"/>
  <c r="V37" i="19"/>
  <c r="P17" i="19"/>
  <c r="P39" i="19"/>
  <c r="P49" i="19"/>
  <c r="AH29" i="19"/>
  <c r="AB29" i="19"/>
  <c r="V49" i="19"/>
  <c r="AH9" i="19"/>
  <c r="J39" i="19"/>
  <c r="AH19" i="19"/>
  <c r="V19" i="19"/>
  <c r="AH49" i="19"/>
  <c r="AB19" i="19"/>
  <c r="AB49" i="19"/>
  <c r="AB9" i="19"/>
  <c r="V39" i="19"/>
  <c r="J19" i="19"/>
  <c r="P29" i="19"/>
  <c r="P19" i="19"/>
  <c r="P9" i="19"/>
  <c r="J29" i="19"/>
  <c r="AA29" i="1"/>
  <c r="AB30" i="1"/>
  <c r="AI28" i="19" l="1"/>
  <c r="Q38" i="19"/>
  <c r="AC38" i="19"/>
  <c r="K48" i="19"/>
  <c r="AC23" i="1"/>
  <c r="AC8" i="19"/>
  <c r="Q28" i="19"/>
  <c r="W28" i="19"/>
  <c r="AC16" i="19"/>
  <c r="AJ46" i="19"/>
  <c r="X36" i="19"/>
  <c r="X46" i="19"/>
  <c r="AJ16" i="19"/>
  <c r="L36" i="19"/>
  <c r="AJ6" i="19"/>
  <c r="AD46" i="19"/>
  <c r="R6" i="19"/>
  <c r="X26" i="19"/>
  <c r="AJ36" i="19"/>
  <c r="X16" i="19"/>
  <c r="AD36" i="19"/>
  <c r="R26" i="19"/>
  <c r="L16" i="19"/>
  <c r="R36" i="19"/>
  <c r="R16" i="19"/>
  <c r="AJ26" i="19"/>
  <c r="R46" i="19"/>
  <c r="AD6" i="19"/>
  <c r="AD16" i="19"/>
  <c r="L46" i="19"/>
  <c r="AD26" i="19"/>
  <c r="L6" i="19"/>
  <c r="X6" i="19"/>
  <c r="L26" i="19"/>
  <c r="AC24" i="1"/>
  <c r="R48" i="19"/>
  <c r="X18" i="19"/>
  <c r="AD18" i="19"/>
  <c r="L8" i="19"/>
  <c r="X48" i="19"/>
  <c r="AJ38" i="19"/>
  <c r="AD38" i="19"/>
  <c r="R28" i="19"/>
  <c r="L48" i="19"/>
  <c r="AD48" i="19"/>
  <c r="L18" i="19"/>
  <c r="AJ48" i="19"/>
  <c r="AD8" i="19"/>
  <c r="X28" i="19"/>
  <c r="AJ18" i="19"/>
  <c r="L38" i="19"/>
  <c r="X38" i="19"/>
  <c r="AD28" i="19"/>
  <c r="R18" i="19"/>
  <c r="R8" i="19"/>
  <c r="R38" i="19"/>
  <c r="X8" i="19"/>
  <c r="AJ28" i="19"/>
  <c r="AJ8" i="19"/>
  <c r="L28" i="19"/>
  <c r="AA30" i="1"/>
  <c r="L49" i="19" s="1"/>
  <c r="W37" i="19"/>
  <c r="AI47" i="19"/>
  <c r="K37" i="19"/>
  <c r="K7" i="19"/>
  <c r="K47" i="19"/>
  <c r="AI7" i="19"/>
  <c r="Q27" i="19"/>
  <c r="AC7" i="19"/>
  <c r="Q17" i="19"/>
  <c r="AC17" i="1"/>
  <c r="K17" i="19"/>
  <c r="W17" i="19"/>
  <c r="AC27" i="19"/>
  <c r="W47" i="19"/>
  <c r="Q7" i="19"/>
  <c r="AC17" i="19"/>
  <c r="W27" i="19"/>
  <c r="AC47" i="19"/>
  <c r="Q37" i="19"/>
  <c r="W7" i="19"/>
  <c r="K27" i="19"/>
  <c r="Q47" i="19"/>
  <c r="AC37" i="19"/>
  <c r="AI27" i="19"/>
  <c r="AI37" i="19"/>
  <c r="AI17" i="19"/>
  <c r="Q50" i="19"/>
  <c r="K50" i="19"/>
  <c r="AC30" i="19"/>
  <c r="AI30" i="19"/>
  <c r="AC40" i="19"/>
  <c r="W20" i="19"/>
  <c r="AI40" i="19"/>
  <c r="W30" i="19"/>
  <c r="AI50" i="19"/>
  <c r="K40" i="19"/>
  <c r="AI20" i="19"/>
  <c r="W10" i="19"/>
  <c r="W40" i="19"/>
  <c r="Q20" i="19"/>
  <c r="W50" i="19"/>
  <c r="AC50" i="19"/>
  <c r="K10" i="19"/>
  <c r="K20" i="19"/>
  <c r="Q30" i="19"/>
  <c r="AI10" i="19"/>
  <c r="AC20" i="19"/>
  <c r="Q10" i="19"/>
  <c r="Q40" i="19"/>
  <c r="AC10" i="19"/>
  <c r="K30" i="19"/>
  <c r="AJ21" i="19"/>
  <c r="AD11" i="19"/>
  <c r="L31" i="19"/>
  <c r="AD21" i="19"/>
  <c r="AD31" i="19"/>
  <c r="L21" i="19"/>
  <c r="R51" i="19"/>
  <c r="L51" i="19"/>
  <c r="AD51" i="19"/>
  <c r="L41" i="19"/>
  <c r="AJ41" i="19"/>
  <c r="R41" i="19"/>
  <c r="R21" i="19"/>
  <c r="L11" i="19"/>
  <c r="X31" i="19"/>
  <c r="AD41" i="19"/>
  <c r="X51" i="19"/>
  <c r="X11" i="19"/>
  <c r="AJ31" i="19"/>
  <c r="AJ11" i="19"/>
  <c r="X21" i="19"/>
  <c r="X41" i="19"/>
  <c r="AJ51" i="19"/>
  <c r="R11" i="19"/>
  <c r="R31" i="19"/>
  <c r="AI41" i="19"/>
  <c r="AI11" i="19"/>
  <c r="K51" i="19"/>
  <c r="Q11" i="19"/>
  <c r="AI21" i="19"/>
  <c r="W11" i="19"/>
  <c r="AC41" i="19"/>
  <c r="K21" i="19"/>
  <c r="W31" i="19"/>
  <c r="Q51" i="19"/>
  <c r="AC21" i="19"/>
  <c r="AI31" i="19"/>
  <c r="AI51" i="19"/>
  <c r="Q31" i="19"/>
  <c r="K41" i="19"/>
  <c r="W21" i="19"/>
  <c r="K31" i="19"/>
  <c r="Q41" i="19"/>
  <c r="AC51" i="19"/>
  <c r="AC11" i="19"/>
  <c r="W51" i="19"/>
  <c r="K11" i="19"/>
  <c r="Q21" i="19"/>
  <c r="AC31" i="19"/>
  <c r="W41" i="19"/>
  <c r="AD47" i="19"/>
  <c r="R17" i="19"/>
  <c r="R7" i="19"/>
  <c r="R47" i="19"/>
  <c r="X27" i="19"/>
  <c r="AJ27" i="19"/>
  <c r="AJ17" i="19"/>
  <c r="X17" i="19"/>
  <c r="AD37" i="19"/>
  <c r="AD17" i="19"/>
  <c r="AD27" i="19"/>
  <c r="X7" i="19"/>
  <c r="AJ47" i="19"/>
  <c r="L17" i="19"/>
  <c r="AD7" i="19"/>
  <c r="X37" i="19"/>
  <c r="AJ7" i="19"/>
  <c r="X47" i="19"/>
  <c r="L47" i="19"/>
  <c r="L27" i="19"/>
  <c r="R27" i="19"/>
  <c r="AC18" i="1"/>
  <c r="AJ37" i="19"/>
  <c r="L7" i="19"/>
  <c r="R37" i="19"/>
  <c r="L37" i="19"/>
  <c r="AD29" i="19"/>
  <c r="L39" i="19"/>
  <c r="L29" i="19"/>
  <c r="AC30" i="1"/>
  <c r="X19" i="19"/>
  <c r="AJ39" i="19"/>
  <c r="R39" i="19"/>
  <c r="X29" i="19"/>
  <c r="X9" i="19"/>
  <c r="AJ29" i="19"/>
  <c r="AD9" i="19"/>
  <c r="X49" i="19"/>
  <c r="L9" i="19"/>
  <c r="AJ9" i="19"/>
  <c r="AD39" i="19"/>
  <c r="Q49" i="19"/>
  <c r="K9" i="19"/>
  <c r="K49" i="19"/>
  <c r="W9" i="19"/>
  <c r="W49" i="19"/>
  <c r="W19" i="19"/>
  <c r="Q19" i="19"/>
  <c r="K39" i="19"/>
  <c r="AC9" i="19"/>
  <c r="AI39" i="19"/>
  <c r="Q9" i="19"/>
  <c r="AC29" i="19"/>
  <c r="AC39" i="19"/>
  <c r="AI9" i="19"/>
  <c r="K29" i="19"/>
  <c r="AI29" i="19"/>
  <c r="AI19" i="19"/>
  <c r="W29" i="19"/>
  <c r="Q29" i="19"/>
  <c r="AC49" i="19"/>
  <c r="W39" i="19"/>
  <c r="AI49" i="19"/>
  <c r="AC19" i="19"/>
  <c r="AC29" i="1"/>
  <c r="K19" i="19"/>
  <c r="Q39" i="19"/>
  <c r="R19" i="19" l="1"/>
  <c r="R29" i="19"/>
  <c r="X39" i="19"/>
  <c r="AD19" i="19"/>
  <c r="AJ49" i="19"/>
  <c r="R9" i="19"/>
  <c r="AD49" i="19"/>
  <c r="L19" i="19"/>
  <c r="AJ19" i="19"/>
  <c r="R49" i="19"/>
  <c r="S39" i="19"/>
  <c r="Y39" i="19"/>
  <c r="M39" i="19"/>
  <c r="Y29" i="19"/>
  <c r="AE19" i="19"/>
  <c r="AK29" i="19"/>
  <c r="Y19" i="19"/>
  <c r="AK39" i="19"/>
  <c r="AK19" i="19"/>
  <c r="S9" i="19"/>
  <c r="Y9" i="19"/>
  <c r="M19" i="19"/>
  <c r="AE29" i="19"/>
  <c r="M29" i="19"/>
  <c r="Y49" i="19"/>
  <c r="AE49" i="19"/>
  <c r="AE39" i="19"/>
  <c r="M49" i="19"/>
  <c r="AK49" i="19"/>
  <c r="AK9" i="19"/>
  <c r="S49" i="19"/>
  <c r="S29" i="19"/>
  <c r="AE9" i="19"/>
  <c r="S19" i="19"/>
  <c r="M9" i="19"/>
  <c r="Y20" i="19"/>
  <c r="AE30" i="19"/>
  <c r="S30" i="19"/>
  <c r="Y50" i="19"/>
  <c r="M40" i="19"/>
  <c r="Y10" i="19"/>
  <c r="AK50" i="19"/>
  <c r="M20" i="19"/>
  <c r="M10" i="19"/>
  <c r="M30" i="19"/>
  <c r="AE10" i="19"/>
  <c r="AK30" i="19"/>
  <c r="S10" i="19"/>
  <c r="AK20" i="19"/>
  <c r="AE50" i="19"/>
  <c r="S20" i="19"/>
  <c r="Y30" i="19"/>
  <c r="AK40" i="19"/>
  <c r="Y40" i="19"/>
  <c r="S40" i="19"/>
  <c r="AE40" i="19"/>
  <c r="AK10" i="19"/>
  <c r="AE20" i="19"/>
  <c r="M50" i="19"/>
  <c r="S50" i="19"/>
  <c r="R30" i="19"/>
  <c r="AD50" i="19"/>
  <c r="AD40" i="19"/>
  <c r="X50" i="19"/>
  <c r="R20" i="19"/>
  <c r="AJ30" i="19"/>
  <c r="R10" i="19"/>
  <c r="L40" i="19"/>
  <c r="X20" i="19"/>
  <c r="R40" i="19"/>
  <c r="L10" i="19"/>
  <c r="AJ50" i="19"/>
  <c r="L30" i="19"/>
  <c r="AJ40" i="19"/>
  <c r="AD30" i="19"/>
  <c r="AD10" i="19"/>
  <c r="L50" i="19"/>
  <c r="X30" i="19"/>
  <c r="L20" i="19"/>
  <c r="AJ10" i="19"/>
  <c r="R50" i="19"/>
  <c r="X10" i="19"/>
  <c r="X40" i="19"/>
  <c r="AJ20" i="19"/>
  <c r="AD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<sst xmlns="http://schemas.openxmlformats.org/spreadsheetml/2006/main" count="526" uniqueCount="301">
  <si>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</si>
  <si>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</si>
  <si>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</si>
  <si>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</si>
  <si>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</si>
  <si>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</si>
  <si>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</si>
  <si>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</si>
  <si>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</si>
  <si>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</si>
  <si>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</si>
  <si>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</si>
  <si>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</si>
  <si>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</si>
  <si>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</si>
  <si>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</si>
  <si>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</si>
  <si>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</si>
  <si>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</si>
  <si>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</si>
  <si>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</si>
  <si>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</si>
  <si>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</si>
  <si>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</si>
  <si>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</si>
  <si>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</si>
  <si>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</si>
  <si>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</si>
  <si>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</si>
  <si>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</si>
  <si>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</si>
  <si>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</si>
  <si>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</si>
  <si>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</si>
  <si>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</si>
  <si>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</si>
  <si>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</si>
  <si>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</si>
  <si>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</si>
  <si>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</si>
  <si>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</si>
  <si>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</si>
  <si>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</si>
  <si>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</si>
  <si>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</si>
  <si>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</si>
  <si>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</si>
  <si>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</si>
  <si>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</si>
  <si>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</si>
  <si>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</si>
  <si>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</si>
  <si>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</si>
  <si>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</si>
  <si>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</si>
  <si>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</si>
  <si>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</si>
  <si>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</si>
  <si>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</si>
  <si>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</si>
  <si>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</si>
  <si>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</si>
  <si>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</si>
  <si>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</si>
  <si>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</si>
  <si>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</si>
  <si>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</si>
  <si>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</si>
  <si>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</si>
  <si>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</si>
  <si>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</si>
  <si>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</si>
  <si>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</si>
  <si>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</si>
  <si>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</si>
  <si>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</si>
  <si>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</si>
  <si>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</si>
  <si>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</si>
  <si>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</si>
  <si>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</si>
  <si>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</si>
  <si>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</si>
  <si>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</si>
  <si>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</si>
  <si>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</si>
  <si>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</si>
  <si>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</si>
  <si>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</si>
  <si>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</si>
  <si>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</si>
  <si>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</si>
  <si>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</si>
  <si>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</si>
  <si>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</si>
  <si>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</si>
  <si>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</si>
  <si>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</si>
  <si>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</si>
  <si>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</si>
  <si>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</si>
  <si>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</si>
  <si>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</si>
  <si>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</si>
  <si>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</si>
  <si>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</si>
  <si>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</si>
  <si>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</si>
  <si>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</si>
  <si>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</si>
  <si>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</si>
  <si>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</si>
  <si>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</si>
  <si>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</si>
  <si>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</si>
  <si>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</si>
  <si>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</si>
  <si>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</si>
  <si>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</si>
  <si>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</si>
  <si>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</si>
  <si>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</si>
  <si>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</si>
  <si>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</si>
  <si>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</si>
  <si>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</si>
  <si>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</si>
  <si>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</si>
  <si>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</si>
  <si>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</si>
  <si>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</si>
  <si>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</si>
  <si>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</si>
  <si>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</si>
  <si>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</si>
  <si>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</si>
  <si>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</si>
  <si>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</si>
  <si>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</si>
  <si>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</si>
  <si>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</si>
  <si>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</si>
  <si>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</si>
  <si>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</si>
  <si>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</si>
  <si>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</si>
  <si>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</si>
  <si>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</si>
  <si>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</si>
  <si>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</si>
  <si>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</si>
  <si>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</si>
  <si>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</si>
  <si>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</si>
  <si>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</si>
  <si>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</si>
  <si>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</si>
  <si>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</si>
  <si>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</si>
  <si>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</si>
  <si>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</si>
  <si>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</si>
  <si>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</si>
  <si>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</si>
  <si>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</si>
  <si>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</si>
  <si>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</si>
  <si>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</si>
  <si>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</si>
  <si>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</si>
  <si>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</si>
  <si>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</si>
  <si>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</si>
  <si>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</si>
  <si>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</si>
  <si>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</si>
  <si>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</si>
  <si>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</si>
  <si>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</si>
  <si>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</si>
  <si>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</si>
  <si>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</si>
  <si>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</si>
  <si>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</si>
  <si>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</si>
  <si>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</si>
  <si>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</si>
  <si>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</si>
  <si>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</si>
  <si>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</si>
  <si>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</si>
  <si>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</si>
  <si>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</si>
  <si>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</si>
  <si>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</si>
  <si>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</si>
  <si>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</si>
  <si>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</si>
  <si>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</si>
  <si>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</si>
  <si>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</si>
  <si>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</si>
  <si>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</si>
  <si>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</si>
  <si>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</si>
  <si>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</si>
  <si>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</si>
  <si>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</si>
  <si>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</si>
  <si>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</si>
  <si>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</si>
  <si>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</si>
  <si>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</si>
  <si>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SEGUIMIENTO</t>
  </si>
  <si>
    <t xml:space="preserve">Formular, organizar, dirigir, ejecutar y controlar los planes, programas y proyectos del ámbito jurídico del ente territorial, así como atender lo relativo a los asuntos jurídicos de la entidad, creando y fijando la política jurídica y unificando criteriospara ejercer  las  funciones  jurídicas  en  todos  los  aspectos  relativos  a  Asuntos  Legales,  Procesos  Judiciales, Contratación, Conciliación y acciones constitucionales. </t>
  </si>
  <si>
    <t>Comprende la definición de los lineamientos y directrices de los asuntos jurídicos para el cumplimiento de la normatividad vigente mediante la emisión de conceptos, revisión de actos administrativos para firma del señor alcalde, viabilidades jurídicas a las modalidades de selección en los procesos contractuales, formulación de la política de prevención del daño antijurídico y ejercer la defensa de los interes de la entidad.</t>
  </si>
  <si>
    <t xml:space="preserve">GESTIÓN JURIDICA Y CONTRACTUAL </t>
  </si>
  <si>
    <t>SECRETARIA GENERAL</t>
  </si>
  <si>
    <t xml:space="preserve">Procedimiento aprobado y divulgado para la actualizacion del normograma </t>
  </si>
  <si>
    <t>Designación de responsable</t>
  </si>
  <si>
    <t>Publicación en pagina web.</t>
  </si>
  <si>
    <t xml:space="preserve">Enviar correos electrónicos trimestrales a los responsables de actualizar el Normograma, con copia los Subdirectores, Gestión de Calidad y Control Interno; recordando fecha límite de Actualización.
</t>
  </si>
  <si>
    <t>Realizar informe a la Secretaria General con copia a los Subdirectores y Director sobre el cumplimiento de la Actualización del Normograma.</t>
  </si>
  <si>
    <t>Permanente</t>
  </si>
  <si>
    <t>PROCESO DIRECCIONAMIENTO ESTRATÉGICO</t>
  </si>
  <si>
    <r>
      <t xml:space="preserve">CÓDIGO: </t>
    </r>
    <r>
      <rPr>
        <sz val="10"/>
        <rFont val="Arial"/>
        <family val="2"/>
      </rPr>
      <t>DIE-FO-022</t>
    </r>
  </si>
  <si>
    <t>MATRIZ DE RIESGOS DE PROCESO</t>
  </si>
  <si>
    <r>
      <t xml:space="preserve">VERSIÓN: </t>
    </r>
    <r>
      <rPr>
        <sz val="10"/>
        <rFont val="Arial"/>
        <family val="2"/>
      </rPr>
      <t>01</t>
    </r>
  </si>
  <si>
    <t>Posibilidad de daño economico y reputacional por desactualización del normograma</t>
  </si>
  <si>
    <t>Posibilidad de daño economico y reputacional por falta de respuesta oportuna a las peticiones, quejas, reclamos y denuncias de la ciudadanía</t>
  </si>
  <si>
    <t>Avance PA</t>
  </si>
  <si>
    <t xml:space="preserve">Falta de seguimiento de los supervisores </t>
  </si>
  <si>
    <t>Falta de compromiso por parte del responsable de cada oficina para actualización del Normograma</t>
  </si>
  <si>
    <t>Incumplimiento a los términos de tiempo legales establecidos por la norma.</t>
  </si>
  <si>
    <t>Seguimiento en la Plataforma de Gestión de procesos BPM.GO</t>
  </si>
  <si>
    <t xml:space="preserve">
Realizar proceso de socialización de los Procedimientos PQRSD
</t>
  </si>
  <si>
    <t>30/04/2024
30/08/2024
30/12/2023</t>
  </si>
  <si>
    <t xml:space="preserve">Posibilidad de daño economico y reputacional por ausencia de evidencias de ejecucion contractual </t>
  </si>
  <si>
    <t>Falta de compromiso y seguimiento para la gestión oportuna de PQRSD.</t>
  </si>
  <si>
    <t>Seguimiento y Control al cumplimiento de términos con la actualización de los actos administrativos</t>
  </si>
  <si>
    <t xml:space="preserve">la plataforma BPM envía diariamente alertas (listado de las PQRSD que se encuentran pendientes por dar respuesta)al correo electrónico de Control Interno y Secretaria Dirección. </t>
  </si>
  <si>
    <t>Actualizacion de  la Resolución que reglamenta la atención de PQRSD y el Procedimiento a los funcionarios.</t>
  </si>
  <si>
    <t xml:space="preserve">socializacion de las respectivas actualizaciones </t>
  </si>
  <si>
    <t xml:space="preserve">Publicar en la Página web la información enviada por los responsables.
</t>
  </si>
  <si>
    <t xml:space="preserve">Deficiencia en el seguimiento por parte de las oficinas gestoras y supervisores asignados, conforme al manual de supervisión de la entidad </t>
  </si>
  <si>
    <t xml:space="preserve">Correcta aplicación de los formatos de informe de actividades supervisor </t>
  </si>
  <si>
    <t xml:space="preserve">Expedicion de paz y salvo por parte del area de contratación </t>
  </si>
  <si>
    <t>Circular con parámetros para entrega y radicación de cuentas en contratación</t>
  </si>
  <si>
    <t xml:space="preserve">Exigir evidencia al momento de la radicación de la cuenta en físico en la oficina de contratación  </t>
  </si>
  <si>
    <t>Posibilidad de daño reputacional  por publicación extemporanea del SECOP</t>
  </si>
  <si>
    <t>circulares enviadas por parte de la area de contratacion reiterando la responsabilidad de las oficinas gestoras</t>
  </si>
  <si>
    <t>Capacitación para aclarar dudas en los procesos de supervisión de los contratos</t>
  </si>
  <si>
    <t>Proyeccion de circualres con los procesos y tiempos descritos en la norma</t>
  </si>
  <si>
    <t xml:space="preserve">Realizar una capacitación a los supervisores de contratos de la entidad </t>
  </si>
  <si>
    <t>30/04/2024
30/08/2024
30/12/2024</t>
  </si>
  <si>
    <t>SEGUIMIENTO PRIMER CUATRIMESTRE 2024 
- OFICINA DE CONTROL INTERNO</t>
  </si>
  <si>
    <t xml:space="preserve">% CUMPLIMIENTO </t>
  </si>
  <si>
    <t>EVIDENCIA</t>
  </si>
  <si>
    <t xml:space="preserve">SEGUIMIENTO </t>
  </si>
  <si>
    <t xml:space="preserve">% AVANCE  </t>
  </si>
  <si>
    <t xml:space="preserve">Retraso en la entrega de documentos por parte de la oficina gestora  </t>
  </si>
  <si>
    <t xml:space="preserve">Demora en el cargue de la información dentro de los tres días siguientes a la emisión del documento </t>
  </si>
  <si>
    <t>N/A</t>
  </si>
  <si>
    <t>Programada para seguimiento en tercer cuatrimestre.
Fecha de implementación del plan incoherente, debe ser posterior a las fechas de seguimiento.</t>
  </si>
  <si>
    <t>No se reportó evidencia que de alcance al plan</t>
  </si>
  <si>
    <t>No se reportaron evidencias para el periodo evaluado. El control es deficiente y permite la materialización del riesgo.
Fecha de implementación del plan incoherente, debe ser posterior a las fechas de seguimiento.</t>
  </si>
  <si>
    <t>Comunicaciones internas y listados de asistencia a la capacitación</t>
  </si>
  <si>
    <t>Programada para seguimiento en segundo cuatrimestre.  No obstante, se reportan envidencias dentro del periodo evaluado, encontrando comunicados internos y listados de asistencia a la capacitación.
Fecha de implementación del plan incoherente, debe ser posterior a las fechas de seguimiento.
No se actualiza el estado del plan.</t>
  </si>
  <si>
    <t>La evidencia aportada no da alcance al plan</t>
  </si>
  <si>
    <t>Se reporta como evidencia un documento con alcance de circular, el cual no cuenta con fecha de suscripción.  En igual sentido, a pesar que la acción no lo indica, no se evidencia socialzación de la circular, lo que procedería como eficiencia del control.  El control es deficiente y permite la materialización del riesgo.
Fecha de implementación del plan incoherente, debe ser posterior a las fechas de seguimiento.</t>
  </si>
  <si>
    <t>Relación de paz y salvos solicitados y muestra de un (1) paz y salvo emitido</t>
  </si>
  <si>
    <t>Se encontró un listado generado por el sistema de información BPM, en donde se evidencian las solicitudes de paz y salvo de documentos por parte de contratistas y funcionarios. Se evidencia el trámite de paz y salvo expedido por el encargado del área de contratación en los temas documentales.
Fecha de implementación del plan incoherente, debe ser posterior a las fechas de seguimiento.</t>
  </si>
  <si>
    <t>Documento informe de actualización del normograma de la entidad a 30 de marzo de 2024</t>
  </si>
  <si>
    <t>Se encontró un documento informativo de la actualización del normograma de la entidad suscrito por el profesional responsable. 
Fecha de implementación del plan incoherente, debe ser posterior a las fechas de seguimiento.</t>
  </si>
  <si>
    <t>A pesar que el plan de acción señala el envió de correos electrónicos, este despacho encuentra procedencia en la evidencia reportada, dado que el mismo Jefe de Control Interno, recibió el mencionado correo.  No obstante, se requiere en próximos seguimientos, se allegue la evidencia correspondiente a lo señalado en el plan de acción. 
Fecha de implementación del plan incoherente, debe ser posterior a las fechas de seguimiento.</t>
  </si>
  <si>
    <t>Documento normograma actualizado a 30 de marzo de 2024 publicado en el sitio web</t>
  </si>
  <si>
    <t>Se realizó inspección en el sitio web del AMB, encontrando publicada la actualización del normograma de la entidad.
Fecha de implementación del plan incoherente, debe ser posterior a las fechas de seguimiento.</t>
  </si>
  <si>
    <t>Listado de correos de alertas generados por el sistema de información BPM</t>
  </si>
  <si>
    <t>El riesgo ha sido calificado como de probabilidad alta de ocurrencia, el impacto como catastrófico y la zona de riesgo como extrema, y en adición, la entidad no ha definido el tratamiento del riesgo.  Para el Jefe de Control Interno, los controles adoptados, resultan ineficientes, lo cual se puede confirmar con los informes de seguimiento al cumplimiento de la Ley 1755 de 2015 presentados por el Jefe de Conrol Interno en los dos (2) últimos años.  No resulta suficiente con enviar correos o actualizar procedimientos, se requiere una intervención mayor por parte de la alta dirección, a fin que se cumplan los términos para dar respuesta oportuna a las peticiones. La Oficina de Control Interno ha dado traslado a Control Interno Disciplinario para que se investiguen las causas que derivan el incumplimiento a la Ley 1755 de 2015.
Para este despacho, este riesgo está materializado, es solo que, los entes de control no han previsto realizar inspecciones al proceso de atención al usuario; no obstante, el riesgo reputacional se evidencia con el descontento manfiesto por usuarios, justamente por el retraso en la atención de peticiones.</t>
  </si>
  <si>
    <t>SEGUIMIENTO SEGUNDO CUATRIMESTRE 2024 
- OFICINA DE CONTROL INTERNO</t>
  </si>
  <si>
    <t>Cumple.
Fecha de implementación del plan incoherente, debe ser posterior a las fechas de seguimiento.</t>
  </si>
  <si>
    <t>Documento informe de actualización del normograma de la entidad a 30 de junio de 2024</t>
  </si>
  <si>
    <t>Correos electrónicos con solicitudes.</t>
  </si>
  <si>
    <t>Documento normograma actualizado a 30 de junio de 2024 publicado en el sitio web</t>
  </si>
  <si>
    <t>Diversos correos electrónicos con alertas de vencimiento a responsables de atender peticiones.</t>
  </si>
  <si>
    <t>Cumple.</t>
  </si>
  <si>
    <t>Se encontró circular interna recordando e instando a cumplir los términos para atender peticiones de acuerdo a la Ley 1755 de 2015.  No así, resolución interna actualizando tales términos y criterios como lo indica el plan de acción.</t>
  </si>
  <si>
    <t>No se encontró resolución interna actualizando los términos para resolver y atender peticiones.  En su lugar, se adjunta el procedimiento CÓDIGO: GJC-PR-002, versión 06 del 21/12/2022, el cual, mantiene los criterios de clasificación de peticiones como DP general, DP1 copias, DP1 solicitud desde otra entidad, DP2 consulta relación al cargo, inmediato, quejas, reclamos, SQR, sugerencias, denuncias, URG "ENTES", acción tutela, acción popular, ejecutvo singular, habeas data y reclamos habeas data.  Tales categorias, no corresponden con la norma que rige la materia.  La oficina de control interno ha reiterado desde el año 2022 la necesidad de actualizar de acuerdo con la Ley 1755 de 2015 los términos y criterios para resolver y atender peticiones de ciudadanos.  En todo caso, la resolución interna 402 de 2023, tampoco es clara frente a cual es el procedimiento que regirá a partir de su expedición para la atención de peticiones.</t>
  </si>
  <si>
    <t>Mediante correo electrónico del diecisiete (17) de junio de 2024, se les recordó a los responsables el envió de la actualización del Normograma con fecha de corte 30 de junio  de 2024</t>
  </si>
  <si>
    <t>Mediante comunicación AMB SG-055  del 09/07/2024, se rindió Informe al Secretario General sobre Actualización Normograma con corte a treinta (30) de junio de 2024. Se deja constancia que el informe se rinde con posterioridad a la fecha de corte de la actualización.</t>
  </si>
  <si>
    <t>El nueve (09) de julio  de 2024 se público en la pagina web del Area Metropolitana de Bucaramanga Normograma actualizado a fecha treinta (30) de junio de 2024. Se deja constancia que el informe se rinde con posterioridad a la fecha de corte de la actualización.</t>
  </si>
  <si>
    <t xml:space="preserve">1.El servidor de la Entidad se encuentra realizando actualizaciones  y el modulo esta desactivado, por tanto no se generan las alertas automaticamente, sin embargo el sistema tiene la opcion de generar un informe de las pqrsd abiertas, el cual se  filtra por dependencia y se reporta semanalmente a las secretarias de las dependencias las  PQRSD que se encuentran pendientes por tramitar y/o cerrar en la plataforma.                                                                     </t>
  </si>
  <si>
    <t>Durante el segundo cuatrimestre no se hizo necesario realizar actualización del procedimiento para el tramite de las PQRSD ( vigente - Procedimiento GJC-PR-002)</t>
  </si>
  <si>
    <t>1. Mediante comunicado interno en la plataforma BPM.Gov se remitio la Circular No. 025 de 2024  respecto al cumplimeinto de terminos para resolver las PQRSD y el Formato GJC-PR-002  - Procedimiento para peticiones, quejas, reclamos, sugerencias, denuncias o felicitaciones</t>
  </si>
  <si>
    <t>Programada para seguimiento en tercer cuatrimestre, sin embargo, la OCI considera que esta actividad debería ser consecuente con la actividad de control señalada inmediatamente anterior, dado que refiere a la socialización de actualizaciones de los elementos constitutivos del sistema de control interno de la entidad.
No obstante lo anterior, se allegó evidencia de socialización de de la cricular No. 025 de 2025 la cual persiste en promover el Procedimiento GJC-PR-002 el cual ha sido reprochado por la OCI desde el año 2022 por encontrarse impreciso y especulativo frente a los criterios y denominaciones para atender peticiones consagrados en la Ley 1755 de 2015.
Fecha de implementación del plan incoherente, debe ser posterior a las fechas de seguimiento.</t>
  </si>
  <si>
    <t>Circulares 016 y 022 de 2024.</t>
  </si>
  <si>
    <t xml:space="preserve">Si bien se reportan circulares internas socializadas referidas al tema contractual, su contenido no apunta explicitamente a la materialización del riesgo por publicidad extemporanea en SECOP, como lo indica el plan y la descripción del riesgo.  El control es deficiente y permite la materialización del riesgo.
Fecha de implementación del plan incoherente, debe ser posterior a las fechas de seguimiento. </t>
  </si>
  <si>
    <t>Circular 022 de 2024.</t>
  </si>
  <si>
    <t xml:space="preserve">Cumple.
Fecha de implementación del plan incoherente, debe ser posterior a las fechas de seguimiento. </t>
  </si>
  <si>
    <t>Se encontró un listado generado por el sistema de información BPM, en donde se evidencian las solicitudes de paz y salvo de documentos por parte de contratistas y funcionarios. 
Fecha de implementación del plan incoherente, debe ser posterior a las fechas de seguimiento.</t>
  </si>
  <si>
    <t>Actividad cumplida en primer cuatrimestre. 
Fecha de implementación del plan incoherente, debe ser posterior a las fechas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</si>
</sst>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name val="Arial"/>
      <family val="2"/>
    </font>
    <font>
      <sz val="11"/>
      <name val="Arial"/>
      <family val="2"/>
    </font>
    <font>
      <b/>
      <sz val="14"/>
      <color theme="1"/>
      <name val="Arial Narrow"/>
      <family val="2"/>
    </font>
    <font>
      <b/>
      <sz val="16"/>
      <color theme="1"/>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style="dashed">
        <color theme="9" tint="-0.24994659260841701"/>
      </top>
      <bottom/>
      <diagonal/>
    </border>
    <border>
      <left style="thick">
        <color theme="9" tint="-0.24994659260841701"/>
      </left>
      <right/>
      <top style="dashed">
        <color theme="9" tint="-0.24994659260841701"/>
      </top>
      <bottom style="dashed">
        <color theme="9" tint="-0.24994659260841701"/>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4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48" xfId="2" applyFont="1" applyFill="1" applyBorder="1"/>
    <xf numFmtId="0" fontId="49" fillId="3" borderId="49" xfId="2" applyFont="1" applyFill="1" applyBorder="1"/>
    <xf numFmtId="0" fontId="49" fillId="3" borderId="50"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4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8" fillId="3" borderId="30" xfId="0" applyFont="1" applyFill="1" applyBorder="1" applyAlignment="1">
      <alignment horizontal="justify" vertical="center" wrapText="1" readingOrder="1"/>
    </xf>
    <xf numFmtId="9" fontId="37" fillId="3" borderId="35" xfId="0" applyNumberFormat="1"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8" fillId="3" borderId="37" xfId="0" applyFont="1" applyFill="1" applyBorder="1" applyAlignment="1">
      <alignment horizontal="justify" vertical="center" wrapText="1" readingOrder="1"/>
    </xf>
    <xf numFmtId="0" fontId="38" fillId="3" borderId="38" xfId="0" applyFont="1" applyFill="1" applyBorder="1" applyAlignment="1">
      <alignment horizontal="center" vertical="center" wrapText="1" readingOrder="1"/>
    </xf>
    <xf numFmtId="0" fontId="46" fillId="3" borderId="0" xfId="0" applyFont="1" applyFill="1"/>
    <xf numFmtId="0" fontId="37" fillId="15" borderId="42" xfId="0" applyFont="1" applyFill="1" applyBorder="1" applyAlignment="1">
      <alignment horizontal="center" vertical="center" wrapText="1" readingOrder="1"/>
    </xf>
    <xf numFmtId="0" fontId="37" fillId="15" borderId="43"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protection locked="0"/>
    </xf>
    <xf numFmtId="164" fontId="1" fillId="0" borderId="2" xfId="1" applyNumberFormat="1" applyFont="1" applyFill="1" applyBorder="1" applyAlignment="1">
      <alignment horizontal="center" vertical="center"/>
    </xf>
    <xf numFmtId="14" fontId="1"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9" fontId="1" fillId="0" borderId="5" xfId="0" applyNumberFormat="1" applyFont="1" applyBorder="1" applyAlignment="1" applyProtection="1">
      <alignment vertical="center" wrapText="1"/>
      <protection locked="0"/>
    </xf>
    <xf numFmtId="0" fontId="4" fillId="2" borderId="2" xfId="0" applyFont="1" applyFill="1" applyBorder="1" applyAlignment="1">
      <alignment horizontal="center" vertical="center" textRotation="90"/>
    </xf>
    <xf numFmtId="0" fontId="0" fillId="0" borderId="0" xfId="0"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2" xfId="0" applyFont="1" applyBorder="1" applyAlignment="1" applyProtection="1">
      <alignment horizontal="justify" vertical="center" wrapText="1"/>
      <protection locked="0"/>
    </xf>
    <xf numFmtId="9" fontId="1" fillId="16" borderId="2" xfId="1" applyFont="1" applyFill="1" applyBorder="1" applyAlignment="1">
      <alignment horizontal="center" vertical="center" wrapText="1"/>
    </xf>
    <xf numFmtId="9" fontId="1" fillId="16" borderId="2" xfId="1" applyFont="1" applyFill="1" applyBorder="1" applyAlignment="1">
      <alignment horizontal="justify" vertical="center" wrapText="1"/>
    </xf>
    <xf numFmtId="0" fontId="1" fillId="16" borderId="2" xfId="0" applyFont="1" applyFill="1" applyBorder="1" applyAlignment="1">
      <alignment horizontal="justify" vertical="center" wrapText="1"/>
    </xf>
    <xf numFmtId="0" fontId="1" fillId="0" borderId="2" xfId="0" applyFont="1" applyFill="1" applyBorder="1" applyAlignment="1" applyProtection="1">
      <alignment horizontal="center" vertical="center"/>
      <protection locked="0"/>
    </xf>
    <xf numFmtId="0" fontId="1" fillId="16" borderId="6" xfId="0" applyFont="1" applyFill="1" applyBorder="1" applyAlignment="1">
      <alignment horizontal="justify" vertical="center" wrapText="1"/>
    </xf>
    <xf numFmtId="9" fontId="1" fillId="16" borderId="6" xfId="1" applyFont="1" applyFill="1" applyBorder="1" applyAlignment="1">
      <alignment horizontal="justify" vertical="center" wrapText="1"/>
    </xf>
    <xf numFmtId="9" fontId="1" fillId="16" borderId="75" xfId="1"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50" fillId="14" borderId="45" xfId="2" applyFont="1" applyFill="1" applyBorder="1" applyAlignment="1">
      <alignment horizontal="center" vertical="center" wrapText="1"/>
    </xf>
    <xf numFmtId="0" fontId="50" fillId="14" borderId="46" xfId="2" applyFont="1" applyFill="1" applyBorder="1" applyAlignment="1">
      <alignment horizontal="center" vertical="center" wrapText="1"/>
    </xf>
    <xf numFmtId="0" fontId="50" fillId="14" borderId="47"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51" fillId="3" borderId="48" xfId="2" quotePrefix="1" applyFont="1" applyFill="1" applyBorder="1" applyAlignment="1">
      <alignment horizontal="left" vertical="top" wrapText="1"/>
    </xf>
    <xf numFmtId="0" fontId="52" fillId="3" borderId="49" xfId="2" quotePrefix="1" applyFont="1" applyFill="1" applyBorder="1" applyAlignment="1">
      <alignment horizontal="left" vertical="top" wrapText="1"/>
    </xf>
    <xf numFmtId="0" fontId="52" fillId="3" borderId="50"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1" xfId="3" applyFont="1" applyFill="1" applyBorder="1" applyAlignment="1">
      <alignment horizontal="center" vertical="center" wrapText="1"/>
    </xf>
    <xf numFmtId="0" fontId="54" fillId="14" borderId="52" xfId="3" applyFont="1" applyFill="1" applyBorder="1" applyAlignment="1">
      <alignment horizontal="center" vertical="center" wrapText="1"/>
    </xf>
    <xf numFmtId="0" fontId="54" fillId="14" borderId="53" xfId="2" applyFont="1" applyFill="1" applyBorder="1" applyAlignment="1">
      <alignment horizontal="center" vertical="center"/>
    </xf>
    <xf numFmtId="0" fontId="54" fillId="14"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54" fillId="3" borderId="55" xfId="3" applyFont="1" applyFill="1" applyBorder="1" applyAlignment="1">
      <alignment horizontal="left" vertical="top" wrapText="1" readingOrder="1"/>
    </xf>
    <xf numFmtId="0" fontId="54" fillId="3" borderId="56" xfId="3" applyFont="1" applyFill="1" applyBorder="1" applyAlignment="1">
      <alignment horizontal="left" vertical="top" wrapText="1" readingOrder="1"/>
    </xf>
    <xf numFmtId="0" fontId="55" fillId="3" borderId="57" xfId="2" applyFont="1" applyFill="1" applyBorder="1" applyAlignment="1">
      <alignment horizontal="justify" vertical="center" wrapText="1"/>
    </xf>
    <xf numFmtId="0" fontId="55" fillId="3" borderId="58" xfId="2" applyFont="1" applyFill="1" applyBorder="1" applyAlignment="1">
      <alignment horizontal="justify"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61" xfId="2" applyFont="1" applyFill="1" applyBorder="1" applyAlignment="1">
      <alignment horizontal="justify" vertical="center" wrapText="1"/>
    </xf>
    <xf numFmtId="0" fontId="55" fillId="3" borderId="62"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68" xfId="0" applyFont="1" applyFill="1" applyBorder="1" applyAlignment="1">
      <alignment horizontal="left" vertical="center" wrapText="1"/>
    </xf>
    <xf numFmtId="0" fontId="54" fillId="3" borderId="69" xfId="0" applyFont="1" applyFill="1" applyBorder="1" applyAlignment="1">
      <alignment horizontal="left" vertical="center" wrapText="1"/>
    </xf>
    <xf numFmtId="0" fontId="54" fillId="3" borderId="70" xfId="0" applyFont="1" applyFill="1" applyBorder="1" applyAlignment="1">
      <alignment horizontal="left" vertical="center" wrapText="1"/>
    </xf>
    <xf numFmtId="0" fontId="54" fillId="3" borderId="71" xfId="0" applyFont="1" applyFill="1" applyBorder="1" applyAlignment="1">
      <alignment horizontal="left" vertical="center" wrapText="1"/>
    </xf>
    <xf numFmtId="0" fontId="55" fillId="3" borderId="63" xfId="0" applyFont="1" applyFill="1" applyBorder="1" applyAlignment="1">
      <alignment horizontal="justify" vertical="center" wrapText="1"/>
    </xf>
    <xf numFmtId="0" fontId="55" fillId="3" borderId="64" xfId="0" applyFont="1" applyFill="1" applyBorder="1" applyAlignment="1">
      <alignment horizontal="justify" vertical="center" wrapText="1"/>
    </xf>
    <xf numFmtId="0" fontId="4" fillId="16" borderId="6" xfId="0" applyFont="1" applyFill="1" applyBorder="1" applyAlignment="1">
      <alignment horizontal="center" vertical="center" wrapText="1"/>
    </xf>
    <xf numFmtId="0" fontId="4" fillId="16" borderId="10" xfId="0" applyFont="1" applyFill="1" applyBorder="1" applyAlignment="1">
      <alignment horizontal="center" vertical="center" wrapText="1"/>
    </xf>
    <xf numFmtId="9" fontId="1" fillId="16" borderId="76" xfId="1" applyFont="1" applyFill="1" applyBorder="1" applyAlignment="1">
      <alignment horizontal="justify" vertical="center" wrapText="1"/>
    </xf>
    <xf numFmtId="9" fontId="1" fillId="16" borderId="3" xfId="1" applyFont="1" applyFill="1" applyBorder="1" applyAlignment="1">
      <alignment horizontal="justify" vertical="center" wrapText="1"/>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16" borderId="77"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58" fillId="0" borderId="30" xfId="0" applyFont="1" applyBorder="1" applyAlignment="1">
      <alignment horizontal="center" vertical="center" wrapText="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2" fillId="2" borderId="30" xfId="0" applyFont="1" applyFill="1" applyBorder="1" applyAlignment="1">
      <alignment vertical="center"/>
    </xf>
    <xf numFmtId="0" fontId="59" fillId="3" borderId="72" xfId="0" applyFont="1" applyFill="1" applyBorder="1" applyAlignment="1">
      <alignment horizontal="center" vertical="center" wrapText="1"/>
    </xf>
    <xf numFmtId="0" fontId="59" fillId="3" borderId="73" xfId="0" applyFont="1" applyFill="1" applyBorder="1" applyAlignment="1">
      <alignment horizontal="center" vertical="center" wrapText="1"/>
    </xf>
    <xf numFmtId="0" fontId="59" fillId="3" borderId="74" xfId="0" applyFont="1" applyFill="1" applyBorder="1" applyAlignment="1">
      <alignment horizontal="center" vertical="center" wrapText="1"/>
    </xf>
    <xf numFmtId="0" fontId="58" fillId="3" borderId="72" xfId="0" applyFont="1" applyFill="1" applyBorder="1" applyAlignment="1">
      <alignment horizontal="left" vertical="center"/>
    </xf>
    <xf numFmtId="0" fontId="58" fillId="3" borderId="74" xfId="0" applyFont="1" applyFill="1" applyBorder="1" applyAlignment="1">
      <alignment horizontal="left" vertical="center"/>
    </xf>
    <xf numFmtId="0" fontId="60" fillId="3" borderId="72" xfId="0" applyFont="1" applyFill="1" applyBorder="1" applyAlignment="1">
      <alignment horizontal="center" vertical="center"/>
    </xf>
    <xf numFmtId="0" fontId="60" fillId="3" borderId="73" xfId="0" applyFont="1" applyFill="1" applyBorder="1" applyAlignment="1">
      <alignment horizontal="center" vertical="center"/>
    </xf>
    <xf numFmtId="0" fontId="60" fillId="3" borderId="74" xfId="0" applyFont="1" applyFill="1" applyBorder="1" applyAlignment="1">
      <alignment horizontal="center" vertical="center"/>
    </xf>
    <xf numFmtId="0" fontId="8" fillId="0" borderId="30" xfId="0" applyFont="1" applyBorder="1" applyAlignment="1" applyProtection="1">
      <alignment vertical="center" wrapText="1"/>
      <protection locked="0"/>
    </xf>
    <xf numFmtId="0" fontId="62" fillId="0" borderId="30" xfId="0" applyFont="1" applyBorder="1" applyAlignment="1" applyProtection="1">
      <alignment vertical="center"/>
      <protection locked="0"/>
    </xf>
    <xf numFmtId="0" fontId="61" fillId="2" borderId="4" xfId="0" applyFont="1" applyFill="1" applyBorder="1" applyAlignment="1">
      <alignment horizontal="center" vertical="center" textRotation="90"/>
    </xf>
    <xf numFmtId="0" fontId="61" fillId="2" borderId="5" xfId="0" applyFont="1" applyFill="1" applyBorder="1" applyAlignment="1">
      <alignment horizontal="center" vertical="center" textRotation="9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5" fillId="0" borderId="0" xfId="0" applyFont="1" applyAlignment="1">
      <alignment horizontal="center" vertical="center"/>
    </xf>
    <xf numFmtId="0" fontId="40" fillId="15" borderId="3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40" fillId="15" borderId="44"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1" xfId="0" applyFont="1" applyFill="1" applyBorder="1" applyAlignment="1">
      <alignment horizontal="center" vertical="center" wrapText="1" readingOrder="1"/>
    </xf>
    <xf numFmtId="0" fontId="37" fillId="15" borderId="42"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761999</xdr:colOff>
      <xdr:row>0</xdr:row>
      <xdr:rowOff>92365</xdr:rowOff>
    </xdr:from>
    <xdr:to>
      <xdr:col>5</xdr:col>
      <xdr:colOff>541829</xdr:colOff>
      <xdr:row>1</xdr:row>
      <xdr:rowOff>1183641</xdr:rowOff>
    </xdr:to>
    <xdr:pic>
      <xdr:nvPicPr>
        <xdr:cNvPr id="2" name="Imagen 1" descr="LOGO NUEVO">
          <a:extLst>
            <a:ext uri="{FF2B5EF4-FFF2-40B4-BE49-F238E27FC236}">
              <a16:creationId xmlns="" xmlns:a16="http://schemas.microsoft.com/office/drawing/2014/main" id="{2FC3D5F9-0AAE-4BBC-B168-9983C390B8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9" y="96175"/>
          <a:ext cx="2999682" cy="129701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10" zoomScaleNormal="110" workbookViewId="0">
      <selection activeCell="E19" sqref="E19:F19"/>
    </sheetView>
  </sheetViews>
  <sheetFormatPr baseColWidth="10" defaultColWidth="11.42578125" defaultRowHeight="15" x14ac:dyDescent="0.25"/>
  <cols>
    <col min="1" max="1" width="2.71093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ht="15.75" thickBot="1" x14ac:dyDescent="0.3"/>
    <row r="2" spans="2:8" ht="18" x14ac:dyDescent="0.25">
      <c r="B2" s="168" t="s">
        <v>164</v>
      </c>
      <c r="C2" s="169"/>
      <c r="D2" s="169"/>
      <c r="E2" s="169"/>
      <c r="F2" s="169"/>
      <c r="G2" s="169"/>
      <c r="H2" s="170"/>
    </row>
    <row r="3" spans="2:8" x14ac:dyDescent="0.25">
      <c r="B3" s="83"/>
      <c r="C3" s="84"/>
      <c r="D3" s="84"/>
      <c r="E3" s="84"/>
      <c r="F3" s="84"/>
      <c r="G3" s="84"/>
      <c r="H3" s="85"/>
    </row>
    <row r="4" spans="2:8" ht="63" customHeight="1" x14ac:dyDescent="0.25">
      <c r="B4" s="171" t="s">
        <v>207</v>
      </c>
      <c r="C4" s="172"/>
      <c r="D4" s="172"/>
      <c r="E4" s="172"/>
      <c r="F4" s="172"/>
      <c r="G4" s="172"/>
      <c r="H4" s="173"/>
    </row>
    <row r="5" spans="2:8" ht="63" customHeight="1" x14ac:dyDescent="0.25">
      <c r="B5" s="174"/>
      <c r="C5" s="175"/>
      <c r="D5" s="175"/>
      <c r="E5" s="175"/>
      <c r="F5" s="175"/>
      <c r="G5" s="175"/>
      <c r="H5" s="176"/>
    </row>
    <row r="6" spans="2:8" ht="16.5" x14ac:dyDescent="0.25">
      <c r="B6" s="177" t="s">
        <v>162</v>
      </c>
      <c r="C6" s="178"/>
      <c r="D6" s="178"/>
      <c r="E6" s="178"/>
      <c r="F6" s="178"/>
      <c r="G6" s="178"/>
      <c r="H6" s="179"/>
    </row>
    <row r="7" spans="2:8" ht="95.25" customHeight="1" x14ac:dyDescent="0.25">
      <c r="B7" s="187" t="s">
        <v>167</v>
      </c>
      <c r="C7" s="188"/>
      <c r="D7" s="188"/>
      <c r="E7" s="188"/>
      <c r="F7" s="188"/>
      <c r="G7" s="188"/>
      <c r="H7" s="189"/>
    </row>
    <row r="8" spans="2:8" ht="16.5" x14ac:dyDescent="0.25">
      <c r="B8" s="119"/>
      <c r="C8" s="120"/>
      <c r="D8" s="120"/>
      <c r="E8" s="120"/>
      <c r="F8" s="120"/>
      <c r="G8" s="120"/>
      <c r="H8" s="121"/>
    </row>
    <row r="9" spans="2:8" ht="16.5" customHeight="1" x14ac:dyDescent="0.25">
      <c r="B9" s="180" t="s">
        <v>200</v>
      </c>
      <c r="C9" s="181"/>
      <c r="D9" s="181"/>
      <c r="E9" s="181"/>
      <c r="F9" s="181"/>
      <c r="G9" s="181"/>
      <c r="H9" s="182"/>
    </row>
    <row r="10" spans="2:8" ht="44.25" customHeight="1" x14ac:dyDescent="0.25">
      <c r="B10" s="180"/>
      <c r="C10" s="181"/>
      <c r="D10" s="181"/>
      <c r="E10" s="181"/>
      <c r="F10" s="181"/>
      <c r="G10" s="181"/>
      <c r="H10" s="182"/>
    </row>
    <row r="11" spans="2:8" ht="15.75" thickBot="1" x14ac:dyDescent="0.3">
      <c r="B11" s="108"/>
      <c r="C11" s="111"/>
      <c r="D11" s="116"/>
      <c r="E11" s="117"/>
      <c r="F11" s="117"/>
      <c r="G11" s="118"/>
      <c r="H11" s="112"/>
    </row>
    <row r="12" spans="2:8" ht="15.75" thickTop="1" x14ac:dyDescent="0.25">
      <c r="B12" s="108"/>
      <c r="C12" s="183" t="s">
        <v>163</v>
      </c>
      <c r="D12" s="184"/>
      <c r="E12" s="185" t="s">
        <v>201</v>
      </c>
      <c r="F12" s="186"/>
      <c r="G12" s="111"/>
      <c r="H12" s="112"/>
    </row>
    <row r="13" spans="2:8" ht="35.25" customHeight="1" x14ac:dyDescent="0.25">
      <c r="B13" s="108"/>
      <c r="C13" s="190" t="s">
        <v>194</v>
      </c>
      <c r="D13" s="191"/>
      <c r="E13" s="192" t="s">
        <v>199</v>
      </c>
      <c r="F13" s="193"/>
      <c r="G13" s="111"/>
      <c r="H13" s="112"/>
    </row>
    <row r="14" spans="2:8" ht="17.25" customHeight="1" x14ac:dyDescent="0.25">
      <c r="B14" s="108"/>
      <c r="C14" s="190" t="s">
        <v>195</v>
      </c>
      <c r="D14" s="191"/>
      <c r="E14" s="192" t="s">
        <v>197</v>
      </c>
      <c r="F14" s="193"/>
      <c r="G14" s="111"/>
      <c r="H14" s="112"/>
    </row>
    <row r="15" spans="2:8" ht="19.5" customHeight="1" x14ac:dyDescent="0.25">
      <c r="B15" s="108"/>
      <c r="C15" s="190" t="s">
        <v>196</v>
      </c>
      <c r="D15" s="191"/>
      <c r="E15" s="192" t="s">
        <v>198</v>
      </c>
      <c r="F15" s="193"/>
      <c r="G15" s="111"/>
      <c r="H15" s="112"/>
    </row>
    <row r="16" spans="2:8" ht="69.75" customHeight="1" x14ac:dyDescent="0.25">
      <c r="B16" s="108"/>
      <c r="C16" s="190" t="s">
        <v>165</v>
      </c>
      <c r="D16" s="191"/>
      <c r="E16" s="192" t="s">
        <v>166</v>
      </c>
      <c r="F16" s="193"/>
      <c r="G16" s="111"/>
      <c r="H16" s="112"/>
    </row>
    <row r="17" spans="2:8" ht="34.5" customHeight="1" x14ac:dyDescent="0.25">
      <c r="B17" s="108"/>
      <c r="C17" s="194" t="s">
        <v>2</v>
      </c>
      <c r="D17" s="195"/>
      <c r="E17" s="196" t="s">
        <v>208</v>
      </c>
      <c r="F17" s="197"/>
      <c r="G17" s="111"/>
      <c r="H17" s="112"/>
    </row>
    <row r="18" spans="2:8" ht="27.75" customHeight="1" x14ac:dyDescent="0.25">
      <c r="B18" s="108"/>
      <c r="C18" s="194" t="s">
        <v>3</v>
      </c>
      <c r="D18" s="195"/>
      <c r="E18" s="196" t="s">
        <v>209</v>
      </c>
      <c r="F18" s="197"/>
      <c r="G18" s="111"/>
      <c r="H18" s="112"/>
    </row>
    <row r="19" spans="2:8" ht="28.5" customHeight="1" x14ac:dyDescent="0.25">
      <c r="B19" s="108"/>
      <c r="C19" s="194" t="s">
        <v>41</v>
      </c>
      <c r="D19" s="195"/>
      <c r="E19" s="196" t="s">
        <v>210</v>
      </c>
      <c r="F19" s="197"/>
      <c r="G19" s="111"/>
      <c r="H19" s="112"/>
    </row>
    <row r="20" spans="2:8" ht="72.75" customHeight="1" x14ac:dyDescent="0.25">
      <c r="B20" s="108"/>
      <c r="C20" s="194" t="s">
        <v>1</v>
      </c>
      <c r="D20" s="195"/>
      <c r="E20" s="196" t="s">
        <v>211</v>
      </c>
      <c r="F20" s="197"/>
      <c r="G20" s="111"/>
      <c r="H20" s="112"/>
    </row>
    <row r="21" spans="2:8" ht="64.5" customHeight="1" x14ac:dyDescent="0.25">
      <c r="B21" s="108"/>
      <c r="C21" s="194" t="s">
        <v>49</v>
      </c>
      <c r="D21" s="195"/>
      <c r="E21" s="196" t="s">
        <v>169</v>
      </c>
      <c r="F21" s="197"/>
      <c r="G21" s="111"/>
      <c r="H21" s="112"/>
    </row>
    <row r="22" spans="2:8" ht="71.25" customHeight="1" x14ac:dyDescent="0.25">
      <c r="B22" s="108"/>
      <c r="C22" s="194" t="s">
        <v>168</v>
      </c>
      <c r="D22" s="195"/>
      <c r="E22" s="196" t="s">
        <v>170</v>
      </c>
      <c r="F22" s="197"/>
      <c r="G22" s="111"/>
      <c r="H22" s="112"/>
    </row>
    <row r="23" spans="2:8" ht="55.5" customHeight="1" x14ac:dyDescent="0.25">
      <c r="B23" s="108"/>
      <c r="C23" s="201" t="s">
        <v>171</v>
      </c>
      <c r="D23" s="202"/>
      <c r="E23" s="196" t="s">
        <v>172</v>
      </c>
      <c r="F23" s="197"/>
      <c r="G23" s="111"/>
      <c r="H23" s="112"/>
    </row>
    <row r="24" spans="2:8" ht="42" customHeight="1" x14ac:dyDescent="0.25">
      <c r="B24" s="108"/>
      <c r="C24" s="201" t="s">
        <v>47</v>
      </c>
      <c r="D24" s="202"/>
      <c r="E24" s="196" t="s">
        <v>173</v>
      </c>
      <c r="F24" s="197"/>
      <c r="G24" s="111"/>
      <c r="H24" s="112"/>
    </row>
    <row r="25" spans="2:8" ht="59.25" customHeight="1" x14ac:dyDescent="0.25">
      <c r="B25" s="108"/>
      <c r="C25" s="201" t="s">
        <v>161</v>
      </c>
      <c r="D25" s="202"/>
      <c r="E25" s="196" t="s">
        <v>174</v>
      </c>
      <c r="F25" s="197"/>
      <c r="G25" s="111"/>
      <c r="H25" s="112"/>
    </row>
    <row r="26" spans="2:8" ht="23.25" customHeight="1" x14ac:dyDescent="0.25">
      <c r="B26" s="108"/>
      <c r="C26" s="201" t="s">
        <v>12</v>
      </c>
      <c r="D26" s="202"/>
      <c r="E26" s="196" t="s">
        <v>175</v>
      </c>
      <c r="F26" s="197"/>
      <c r="G26" s="111"/>
      <c r="H26" s="112"/>
    </row>
    <row r="27" spans="2:8" ht="30.75" customHeight="1" x14ac:dyDescent="0.25">
      <c r="B27" s="108"/>
      <c r="C27" s="201" t="s">
        <v>179</v>
      </c>
      <c r="D27" s="202"/>
      <c r="E27" s="196" t="s">
        <v>176</v>
      </c>
      <c r="F27" s="197"/>
      <c r="G27" s="111"/>
      <c r="H27" s="112"/>
    </row>
    <row r="28" spans="2:8" ht="35.25" customHeight="1" x14ac:dyDescent="0.25">
      <c r="B28" s="108"/>
      <c r="C28" s="201" t="s">
        <v>180</v>
      </c>
      <c r="D28" s="202"/>
      <c r="E28" s="196" t="s">
        <v>177</v>
      </c>
      <c r="F28" s="197"/>
      <c r="G28" s="111"/>
      <c r="H28" s="112"/>
    </row>
    <row r="29" spans="2:8" ht="33" customHeight="1" x14ac:dyDescent="0.25">
      <c r="B29" s="108"/>
      <c r="C29" s="201" t="s">
        <v>180</v>
      </c>
      <c r="D29" s="202"/>
      <c r="E29" s="196" t="s">
        <v>177</v>
      </c>
      <c r="F29" s="197"/>
      <c r="G29" s="111"/>
      <c r="H29" s="112"/>
    </row>
    <row r="30" spans="2:8" ht="30" customHeight="1" x14ac:dyDescent="0.25">
      <c r="B30" s="108"/>
      <c r="C30" s="201" t="s">
        <v>181</v>
      </c>
      <c r="D30" s="202"/>
      <c r="E30" s="196" t="s">
        <v>178</v>
      </c>
      <c r="F30" s="197"/>
      <c r="G30" s="111"/>
      <c r="H30" s="112"/>
    </row>
    <row r="31" spans="2:8" ht="35.25" customHeight="1" x14ac:dyDescent="0.25">
      <c r="B31" s="108"/>
      <c r="C31" s="201" t="s">
        <v>182</v>
      </c>
      <c r="D31" s="202"/>
      <c r="E31" s="196" t="s">
        <v>183</v>
      </c>
      <c r="F31" s="197"/>
      <c r="G31" s="111"/>
      <c r="H31" s="112"/>
    </row>
    <row r="32" spans="2:8" ht="31.5" customHeight="1" x14ac:dyDescent="0.25">
      <c r="B32" s="108"/>
      <c r="C32" s="201" t="s">
        <v>184</v>
      </c>
      <c r="D32" s="202"/>
      <c r="E32" s="196" t="s">
        <v>185</v>
      </c>
      <c r="F32" s="197"/>
      <c r="G32" s="111"/>
      <c r="H32" s="112"/>
    </row>
    <row r="33" spans="2:8" ht="35.25" customHeight="1" x14ac:dyDescent="0.25">
      <c r="B33" s="108"/>
      <c r="C33" s="201" t="s">
        <v>186</v>
      </c>
      <c r="D33" s="202"/>
      <c r="E33" s="196" t="s">
        <v>187</v>
      </c>
      <c r="F33" s="197"/>
      <c r="G33" s="111"/>
      <c r="H33" s="112"/>
    </row>
    <row r="34" spans="2:8" ht="59.25" customHeight="1" x14ac:dyDescent="0.25">
      <c r="B34" s="108"/>
      <c r="C34" s="201" t="s">
        <v>188</v>
      </c>
      <c r="D34" s="202"/>
      <c r="E34" s="196" t="s">
        <v>189</v>
      </c>
      <c r="F34" s="197"/>
      <c r="G34" s="111"/>
      <c r="H34" s="112"/>
    </row>
    <row r="35" spans="2:8" ht="29.25" customHeight="1" x14ac:dyDescent="0.25">
      <c r="B35" s="108"/>
      <c r="C35" s="201" t="s">
        <v>29</v>
      </c>
      <c r="D35" s="202"/>
      <c r="E35" s="196" t="s">
        <v>190</v>
      </c>
      <c r="F35" s="197"/>
      <c r="G35" s="111"/>
      <c r="H35" s="112"/>
    </row>
    <row r="36" spans="2:8" ht="82.5" customHeight="1" x14ac:dyDescent="0.25">
      <c r="B36" s="108"/>
      <c r="C36" s="201" t="s">
        <v>192</v>
      </c>
      <c r="D36" s="202"/>
      <c r="E36" s="196" t="s">
        <v>191</v>
      </c>
      <c r="F36" s="197"/>
      <c r="G36" s="111"/>
      <c r="H36" s="112"/>
    </row>
    <row r="37" spans="2:8" ht="46.5" customHeight="1" x14ac:dyDescent="0.25">
      <c r="B37" s="108"/>
      <c r="C37" s="201" t="s">
        <v>38</v>
      </c>
      <c r="D37" s="202"/>
      <c r="E37" s="196" t="s">
        <v>193</v>
      </c>
      <c r="F37" s="197"/>
      <c r="G37" s="111"/>
      <c r="H37" s="112"/>
    </row>
    <row r="38" spans="2:8" ht="6.75" customHeight="1" thickBot="1" x14ac:dyDescent="0.3">
      <c r="B38" s="108"/>
      <c r="C38" s="203"/>
      <c r="D38" s="204"/>
      <c r="E38" s="205"/>
      <c r="F38" s="206"/>
      <c r="G38" s="111"/>
      <c r="H38" s="112"/>
    </row>
    <row r="39" spans="2:8" ht="15.75" thickTop="1" x14ac:dyDescent="0.25">
      <c r="B39" s="108"/>
      <c r="C39" s="109"/>
      <c r="D39" s="109"/>
      <c r="E39" s="110"/>
      <c r="F39" s="110"/>
      <c r="G39" s="111"/>
      <c r="H39" s="112"/>
    </row>
    <row r="40" spans="2:8" ht="21" customHeight="1" x14ac:dyDescent="0.25">
      <c r="B40" s="198" t="s">
        <v>202</v>
      </c>
      <c r="C40" s="199"/>
      <c r="D40" s="199"/>
      <c r="E40" s="199"/>
      <c r="F40" s="199"/>
      <c r="G40" s="199"/>
      <c r="H40" s="200"/>
    </row>
    <row r="41" spans="2:8" ht="20.25" customHeight="1" x14ac:dyDescent="0.25">
      <c r="B41" s="198" t="s">
        <v>203</v>
      </c>
      <c r="C41" s="199"/>
      <c r="D41" s="199"/>
      <c r="E41" s="199"/>
      <c r="F41" s="199"/>
      <c r="G41" s="199"/>
      <c r="H41" s="200"/>
    </row>
    <row r="42" spans="2:8" ht="20.25" customHeight="1" x14ac:dyDescent="0.25">
      <c r="B42" s="198" t="s">
        <v>204</v>
      </c>
      <c r="C42" s="199"/>
      <c r="D42" s="199"/>
      <c r="E42" s="199"/>
      <c r="F42" s="199"/>
      <c r="G42" s="199"/>
      <c r="H42" s="200"/>
    </row>
    <row r="43" spans="2:8" ht="20.25" customHeight="1" x14ac:dyDescent="0.25">
      <c r="B43" s="198" t="s">
        <v>205</v>
      </c>
      <c r="C43" s="199"/>
      <c r="D43" s="199"/>
      <c r="E43" s="199"/>
      <c r="F43" s="199"/>
      <c r="G43" s="199"/>
      <c r="H43" s="200"/>
    </row>
    <row r="44" spans="2:8" x14ac:dyDescent="0.25">
      <c r="B44" s="198" t="s">
        <v>206</v>
      </c>
      <c r="C44" s="199"/>
      <c r="D44" s="199"/>
      <c r="E44" s="199"/>
      <c r="F44" s="199"/>
      <c r="G44" s="199"/>
      <c r="H44" s="200"/>
    </row>
    <row r="45" spans="2:8" ht="15.75" thickBot="1" x14ac:dyDescent="0.3">
      <c r="B45" s="113"/>
      <c r="C45" s="114"/>
      <c r="D45" s="114"/>
      <c r="E45" s="114"/>
      <c r="F45" s="114"/>
      <c r="G45" s="114"/>
      <c r="H45" s="11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4" zoomScale="90" zoomScaleNormal="90" workbookViewId="0">
      <pane xSplit="5" ySplit="6" topLeftCell="AE10" activePane="bottomRight" state="frozen"/>
      <selection activeCell="A4" sqref="A4"/>
      <selection pane="topRight" activeCell="F4" sqref="F4"/>
      <selection pane="bottomLeft" activeCell="A10" sqref="A10"/>
      <selection pane="bottomRight" activeCell="C5" sqref="C5:AK5"/>
    </sheetView>
  </sheetViews>
  <sheetFormatPr baseColWidth="10" defaultColWidth="11.42578125" defaultRowHeight="16.5" outlineLevelCol="1" x14ac:dyDescent="0.3"/>
  <cols>
    <col min="1" max="1" width="4" style="2" bestFit="1" customWidth="1"/>
    <col min="2" max="2" width="13.7109375" style="2" customWidth="1"/>
    <col min="3" max="4" width="15.7109375" style="2" customWidth="1"/>
    <col min="5" max="5" width="15.7109375" style="1" customWidth="1"/>
    <col min="6" max="6" width="19" style="5" customWidth="1"/>
    <col min="7" max="7" width="17.7109375" style="1" customWidth="1"/>
    <col min="8" max="8" width="16.5703125" style="1" customWidth="1"/>
    <col min="9" max="9" width="6.42578125" style="1" bestFit="1" customWidth="1"/>
    <col min="10" max="10" width="27.42578125" style="1" bestFit="1" customWidth="1"/>
    <col min="11" max="11" width="30.42578125" style="1" customWidth="1"/>
    <col min="12" max="12" width="17.5703125" style="1" customWidth="1"/>
    <col min="13" max="13" width="6.42578125" style="1" bestFit="1" customWidth="1"/>
    <col min="14" max="14" width="16" style="1" customWidth="1"/>
    <col min="15" max="15" width="5.7109375" style="1" customWidth="1"/>
    <col min="16" max="16" width="31" style="1" customWidth="1"/>
    <col min="17" max="17" width="15.28515625" style="1" hidden="1" customWidth="1" outlineLevel="1"/>
    <col min="18" max="18" width="6.7109375" style="1" hidden="1" customWidth="1" outlineLevel="1"/>
    <col min="19" max="19" width="5" style="1" hidden="1" customWidth="1" outlineLevel="1"/>
    <col min="20" max="20" width="5.5703125" style="1" hidden="1" customWidth="1" outlineLevel="1"/>
    <col min="21" max="21" width="7.28515625" style="1" hidden="1" customWidth="1" outlineLevel="1"/>
    <col min="22" max="22" width="6.5703125" style="1" hidden="1" customWidth="1" outlineLevel="1"/>
    <col min="23" max="23" width="7.5703125" style="1" hidden="1" customWidth="1" outlineLevel="1"/>
    <col min="24" max="24" width="11.7109375" style="1" hidden="1" customWidth="1" outlineLevel="1"/>
    <col min="25" max="25" width="8.5703125" style="1" hidden="1" customWidth="1" outlineLevel="1"/>
    <col min="26" max="26" width="10.42578125" style="1" hidden="1" customWidth="1" outlineLevel="1"/>
    <col min="27" max="27" width="9.42578125" style="1" hidden="1" customWidth="1" outlineLevel="1"/>
    <col min="28" max="28" width="9.28515625" style="1" hidden="1" customWidth="1" outlineLevel="1"/>
    <col min="29" max="29" width="8.42578125" style="1" hidden="1" customWidth="1" outlineLevel="1"/>
    <col min="30" max="30" width="7.42578125" style="2" hidden="1" customWidth="1" outlineLevel="1"/>
    <col min="31" max="31" width="28.7109375" style="1" customWidth="1" collapsed="1"/>
    <col min="32" max="32" width="30.7109375" style="1" customWidth="1"/>
    <col min="33" max="33" width="17.7109375" style="1" customWidth="1"/>
    <col min="34" max="34" width="16.7109375" style="1" customWidth="1"/>
    <col min="35" max="35" width="14.7109375" style="1" customWidth="1"/>
    <col min="36" max="36" width="8.5703125" style="2" customWidth="1"/>
    <col min="37" max="37" width="13" style="2" customWidth="1"/>
    <col min="38" max="38" width="16.140625" style="1" hidden="1" customWidth="1" outlineLevel="1"/>
    <col min="39" max="39" width="22.42578125" style="1" hidden="1" customWidth="1" outlineLevel="1"/>
    <col min="40" max="40" width="46.7109375" style="1" hidden="1" customWidth="1" outlineLevel="1"/>
    <col min="41" max="41" width="16.140625" style="1" customWidth="1" collapsed="1"/>
    <col min="42" max="42" width="22.42578125" style="1" customWidth="1"/>
    <col min="43" max="43" width="46.7109375" style="1" customWidth="1"/>
    <col min="44" max="44" width="11.42578125" style="1"/>
    <col min="45" max="45" width="28.28515625" style="1" customWidth="1"/>
    <col min="46" max="16384" width="11.42578125" style="1"/>
  </cols>
  <sheetData>
    <row r="1" spans="1:68" ht="16.5" customHeight="1" x14ac:dyDescent="0.3">
      <c r="A1" s="279"/>
      <c r="B1" s="279"/>
      <c r="C1" s="279"/>
      <c r="D1" s="279"/>
      <c r="E1" s="283" t="s">
        <v>224</v>
      </c>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5"/>
      <c r="AJ1" s="286" t="s">
        <v>225</v>
      </c>
      <c r="AK1" s="28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98.1" customHeight="1" x14ac:dyDescent="0.3">
      <c r="A2" s="279"/>
      <c r="B2" s="279"/>
      <c r="C2" s="279"/>
      <c r="D2" s="279"/>
      <c r="E2" s="288" t="s">
        <v>226</v>
      </c>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90"/>
      <c r="AJ2" s="286" t="s">
        <v>227</v>
      </c>
      <c r="AK2" s="28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27"/>
      <c r="B3" s="28"/>
      <c r="C3" s="27"/>
      <c r="D3" s="27"/>
      <c r="E3" s="7"/>
      <c r="F3" s="26"/>
      <c r="G3" s="7"/>
      <c r="H3" s="7"/>
      <c r="I3" s="7"/>
      <c r="J3" s="7"/>
      <c r="K3" s="7"/>
      <c r="L3" s="7"/>
      <c r="M3" s="7"/>
      <c r="N3" s="7"/>
      <c r="O3" s="7"/>
      <c r="P3" s="7"/>
      <c r="Q3" s="7"/>
      <c r="R3" s="7"/>
      <c r="S3" s="7"/>
      <c r="T3" s="7"/>
      <c r="U3" s="7"/>
      <c r="V3" s="7"/>
      <c r="W3" s="7"/>
      <c r="X3" s="7"/>
      <c r="Y3" s="7"/>
      <c r="Z3" s="7"/>
      <c r="AA3" s="7"/>
      <c r="AB3" s="7"/>
      <c r="AC3" s="7"/>
      <c r="AD3" s="27"/>
      <c r="AE3" s="7"/>
      <c r="AG3" s="7"/>
      <c r="AH3" s="7"/>
      <c r="AI3" s="7"/>
      <c r="AJ3" s="27"/>
      <c r="AK3" s="2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24.95" customHeight="1" x14ac:dyDescent="0.3">
      <c r="A4" s="282" t="s">
        <v>42</v>
      </c>
      <c r="B4" s="282"/>
      <c r="C4" s="292" t="s">
        <v>216</v>
      </c>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42.75" customHeight="1" x14ac:dyDescent="0.3">
      <c r="A5" s="282" t="s">
        <v>129</v>
      </c>
      <c r="B5" s="282"/>
      <c r="C5" s="291" t="s">
        <v>214</v>
      </c>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42.75" customHeight="1" x14ac:dyDescent="0.3">
      <c r="A6" s="282" t="s">
        <v>43</v>
      </c>
      <c r="B6" s="282"/>
      <c r="C6" s="291" t="s">
        <v>215</v>
      </c>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ht="36" customHeight="1" x14ac:dyDescent="0.3">
      <c r="A7" s="247" t="s">
        <v>138</v>
      </c>
      <c r="B7" s="280"/>
      <c r="C7" s="280"/>
      <c r="D7" s="280"/>
      <c r="E7" s="280"/>
      <c r="F7" s="280"/>
      <c r="G7" s="281"/>
      <c r="H7" s="247" t="s">
        <v>139</v>
      </c>
      <c r="I7" s="280"/>
      <c r="J7" s="280"/>
      <c r="K7" s="280"/>
      <c r="L7" s="280"/>
      <c r="M7" s="280"/>
      <c r="N7" s="281"/>
      <c r="O7" s="247" t="s">
        <v>140</v>
      </c>
      <c r="P7" s="280"/>
      <c r="Q7" s="280"/>
      <c r="R7" s="280"/>
      <c r="S7" s="280"/>
      <c r="T7" s="280"/>
      <c r="U7" s="280"/>
      <c r="V7" s="280"/>
      <c r="W7" s="281"/>
      <c r="X7" s="247" t="s">
        <v>141</v>
      </c>
      <c r="Y7" s="280"/>
      <c r="Z7" s="280"/>
      <c r="AA7" s="280"/>
      <c r="AB7" s="280"/>
      <c r="AC7" s="280"/>
      <c r="AD7" s="281"/>
      <c r="AE7" s="247" t="s">
        <v>34</v>
      </c>
      <c r="AF7" s="280"/>
      <c r="AG7" s="280"/>
      <c r="AH7" s="280"/>
      <c r="AI7" s="280"/>
      <c r="AJ7" s="280"/>
      <c r="AK7" s="281"/>
      <c r="AL7" s="207" t="s">
        <v>255</v>
      </c>
      <c r="AM7" s="208"/>
      <c r="AN7" s="208"/>
      <c r="AO7" s="276" t="s">
        <v>279</v>
      </c>
      <c r="AP7" s="208"/>
      <c r="AQ7" s="27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93" t="s">
        <v>0</v>
      </c>
      <c r="B8" s="248" t="s">
        <v>2</v>
      </c>
      <c r="C8" s="249" t="s">
        <v>3</v>
      </c>
      <c r="D8" s="249" t="s">
        <v>41</v>
      </c>
      <c r="E8" s="249" t="s">
        <v>1</v>
      </c>
      <c r="F8" s="250" t="s">
        <v>49</v>
      </c>
      <c r="G8" s="249" t="s">
        <v>134</v>
      </c>
      <c r="H8" s="251" t="s">
        <v>33</v>
      </c>
      <c r="I8" s="246" t="s">
        <v>5</v>
      </c>
      <c r="J8" s="250" t="s">
        <v>86</v>
      </c>
      <c r="K8" s="250" t="s">
        <v>91</v>
      </c>
      <c r="L8" s="252" t="s">
        <v>44</v>
      </c>
      <c r="M8" s="246" t="s">
        <v>5</v>
      </c>
      <c r="N8" s="249" t="s">
        <v>47</v>
      </c>
      <c r="O8" s="253" t="s">
        <v>11</v>
      </c>
      <c r="P8" s="244" t="s">
        <v>161</v>
      </c>
      <c r="Q8" s="250" t="s">
        <v>12</v>
      </c>
      <c r="R8" s="244" t="s">
        <v>8</v>
      </c>
      <c r="S8" s="244"/>
      <c r="T8" s="244"/>
      <c r="U8" s="244"/>
      <c r="V8" s="244"/>
      <c r="W8" s="244"/>
      <c r="X8" s="245" t="s">
        <v>137</v>
      </c>
      <c r="Y8" s="245" t="s">
        <v>45</v>
      </c>
      <c r="Z8" s="245" t="s">
        <v>5</v>
      </c>
      <c r="AA8" s="245" t="s">
        <v>46</v>
      </c>
      <c r="AB8" s="245" t="s">
        <v>5</v>
      </c>
      <c r="AC8" s="245" t="s">
        <v>48</v>
      </c>
      <c r="AD8" s="253" t="s">
        <v>29</v>
      </c>
      <c r="AE8" s="244" t="s">
        <v>34</v>
      </c>
      <c r="AF8" s="244" t="s">
        <v>213</v>
      </c>
      <c r="AG8" s="244" t="s">
        <v>35</v>
      </c>
      <c r="AH8" s="244" t="s">
        <v>36</v>
      </c>
      <c r="AI8" s="244" t="s">
        <v>37</v>
      </c>
      <c r="AJ8" s="244" t="s">
        <v>230</v>
      </c>
      <c r="AK8" s="244" t="s">
        <v>38</v>
      </c>
      <c r="AL8" s="207" t="s">
        <v>256</v>
      </c>
      <c r="AM8" s="207" t="s">
        <v>257</v>
      </c>
      <c r="AN8" s="207" t="s">
        <v>258</v>
      </c>
      <c r="AO8" s="276" t="s">
        <v>256</v>
      </c>
      <c r="AP8" s="207" t="s">
        <v>257</v>
      </c>
      <c r="AQ8" s="278" t="s">
        <v>258</v>
      </c>
      <c r="AR8" s="7"/>
      <c r="AS8" s="7"/>
      <c r="AT8" s="7"/>
      <c r="AU8" s="7"/>
      <c r="AV8" s="7"/>
      <c r="AW8" s="7"/>
      <c r="AX8" s="7"/>
      <c r="AY8" s="7"/>
      <c r="AZ8" s="7"/>
      <c r="BA8" s="7"/>
      <c r="BB8" s="7"/>
      <c r="BC8" s="7"/>
      <c r="BD8" s="7"/>
      <c r="BE8" s="7"/>
      <c r="BF8" s="7"/>
      <c r="BG8" s="7"/>
      <c r="BH8" s="7"/>
      <c r="BI8" s="7"/>
      <c r="BJ8" s="7"/>
      <c r="BK8" s="7"/>
      <c r="BL8" s="7"/>
      <c r="BM8" s="7"/>
      <c r="BN8" s="7"/>
      <c r="BO8" s="7"/>
      <c r="BP8" s="7"/>
    </row>
    <row r="9" spans="1:68" s="4" customFormat="1" ht="76.5" customHeight="1" x14ac:dyDescent="0.25">
      <c r="A9" s="294"/>
      <c r="B9" s="248"/>
      <c r="C9" s="244"/>
      <c r="D9" s="244"/>
      <c r="E9" s="244"/>
      <c r="F9" s="249"/>
      <c r="G9" s="244"/>
      <c r="H9" s="249"/>
      <c r="I9" s="247"/>
      <c r="J9" s="249"/>
      <c r="K9" s="249"/>
      <c r="L9" s="247"/>
      <c r="M9" s="247"/>
      <c r="N9" s="244"/>
      <c r="O9" s="254"/>
      <c r="P9" s="244"/>
      <c r="Q9" s="249"/>
      <c r="R9" s="154" t="s">
        <v>13</v>
      </c>
      <c r="S9" s="154" t="s">
        <v>17</v>
      </c>
      <c r="T9" s="154" t="s">
        <v>28</v>
      </c>
      <c r="U9" s="154" t="s">
        <v>18</v>
      </c>
      <c r="V9" s="154" t="s">
        <v>21</v>
      </c>
      <c r="W9" s="154" t="s">
        <v>24</v>
      </c>
      <c r="X9" s="245"/>
      <c r="Y9" s="245"/>
      <c r="Z9" s="245"/>
      <c r="AA9" s="245"/>
      <c r="AB9" s="245"/>
      <c r="AC9" s="245"/>
      <c r="AD9" s="254"/>
      <c r="AE9" s="244"/>
      <c r="AF9" s="244"/>
      <c r="AG9" s="244"/>
      <c r="AH9" s="244"/>
      <c r="AI9" s="244"/>
      <c r="AJ9" s="244"/>
      <c r="AK9" s="244"/>
      <c r="AL9" s="207" t="s">
        <v>259</v>
      </c>
      <c r="AM9" s="207" t="s">
        <v>257</v>
      </c>
      <c r="AN9" s="207"/>
      <c r="AO9" s="276" t="s">
        <v>259</v>
      </c>
      <c r="AP9" s="207" t="s">
        <v>257</v>
      </c>
      <c r="AQ9" s="278"/>
      <c r="AR9" s="24"/>
      <c r="AS9" s="24"/>
      <c r="AT9" s="24"/>
      <c r="AU9" s="24"/>
      <c r="AV9" s="24"/>
      <c r="AW9" s="24"/>
      <c r="AX9" s="24"/>
      <c r="AY9" s="24"/>
      <c r="AZ9" s="24"/>
      <c r="BA9" s="24"/>
      <c r="BB9" s="24"/>
      <c r="BC9" s="24"/>
      <c r="BD9" s="24"/>
      <c r="BE9" s="24"/>
      <c r="BF9" s="24"/>
      <c r="BG9" s="24"/>
      <c r="BH9" s="24"/>
      <c r="BI9" s="24"/>
      <c r="BJ9" s="24"/>
      <c r="BK9" s="24"/>
      <c r="BL9" s="24"/>
      <c r="BM9" s="24"/>
      <c r="BN9" s="24"/>
      <c r="BO9" s="24"/>
      <c r="BP9" s="24"/>
    </row>
    <row r="10" spans="1:68" s="3" customFormat="1" ht="215.25" customHeight="1" x14ac:dyDescent="0.25">
      <c r="A10" s="223">
        <v>1</v>
      </c>
      <c r="B10" s="214" t="s">
        <v>131</v>
      </c>
      <c r="C10" s="214" t="s">
        <v>260</v>
      </c>
      <c r="D10" s="214" t="s">
        <v>261</v>
      </c>
      <c r="E10" s="226" t="s">
        <v>249</v>
      </c>
      <c r="F10" s="214" t="s">
        <v>127</v>
      </c>
      <c r="G10" s="217">
        <v>12</v>
      </c>
      <c r="H10" s="220" t="str">
        <f>IF(G10&lt;=0,"",IF(G10&lt;=2,"Muy Baja",IF(G10&lt;=24,"Baja",IF(G10&lt;=500,"Media",IF(G10&lt;=5000,"Alta","Muy Alta")))))</f>
        <v>Baja</v>
      </c>
      <c r="I10" s="232">
        <f>IF(H10="","",IF(H10="Muy Baja",0.2,IF(H10="Baja",0.4,IF(H10="Media",0.6,IF(H10="Alta",0.8,IF(H10="Muy Alta",1,))))))</f>
        <v>0.4</v>
      </c>
      <c r="J10" s="235" t="s">
        <v>154</v>
      </c>
      <c r="K10" s="232" t="str">
        <f>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220" t="str">
        <f>IF(OR(K10='Tabla Impacto'!$C$11,K10='Tabla Impacto'!$D$11),"Leve",IF(OR(K10='Tabla Impacto'!$C$12,K10='Tabla Impacto'!$D$12),"Menor",IF(OR(K10='Tabla Impacto'!$C$13,K10='Tabla Impacto'!$D$13),"Moderado",IF(OR(K10='Tabla Impacto'!$C$14,K10='Tabla Impacto'!$D$14),"Mayor",IF(OR(K10='Tabla Impacto'!$C$15,K10='Tabla Impacto'!$D$15),"Catastrófico","")))))</f>
        <v>Mayor</v>
      </c>
      <c r="M10" s="232">
        <f>IF(L10="","",IF(L10="Leve",0.2,IF(L10="Menor",0.4,IF(L10="Moderado",0.6,IF(L10="Mayor",0.8,IF(L10="Catastrófico",1,))))))</f>
        <v>0.8</v>
      </c>
      <c r="N10" s="229"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156" t="s">
        <v>250</v>
      </c>
      <c r="Q10" s="137" t="str">
        <f>IF(OR(R10="Preventivo",R10="Detectivo"),"Probabilidad",IF(R10="Correctivo","Impacto",""))</f>
        <v>Probabilidad</v>
      </c>
      <c r="R10" s="138" t="s">
        <v>14</v>
      </c>
      <c r="S10" s="138" t="s">
        <v>10</v>
      </c>
      <c r="T10" s="139" t="str">
        <f>IF(AND(R10="Preventivo",S10="Automático"),"50%",IF(AND(R10="Preventivo",S10="Manual"),"40%",IF(AND(R10="Detectivo",S10="Automático"),"40%",IF(AND(R10="Detectivo",S10="Manual"),"30%",IF(AND(R10="Correctivo",S10="Automático"),"35%",IF(AND(R10="Correctivo",S10="Manual"),"25%",""))))))</f>
        <v>50%</v>
      </c>
      <c r="U10" s="138" t="s">
        <v>19</v>
      </c>
      <c r="V10" s="138" t="s">
        <v>22</v>
      </c>
      <c r="W10" s="138" t="s">
        <v>118</v>
      </c>
      <c r="X10" s="140">
        <f>IFERROR(IF(Q10="Probabilidad",(I10-(+I10*T10)),IF(Q10="Impacto",I10,"")),"")</f>
        <v>0.2</v>
      </c>
      <c r="Y10" s="141" t="str">
        <f>IFERROR(IF(X10="","",IF(X10&lt;=0.2,"Muy Baja",IF(X10&lt;=0.4,"Baja",IF(X10&lt;=0.6,"Media",IF(X10&lt;=0.8,"Alta","Muy Alta"))))),"")</f>
        <v>Muy Baja</v>
      </c>
      <c r="Z10" s="142">
        <f>+X10</f>
        <v>0.2</v>
      </c>
      <c r="AA10" s="141" t="str">
        <f>IFERROR(IF(AB10="","",IF(AB10&lt;=0.2,"Leve",IF(AB10&lt;=0.4,"Menor",IF(AB10&lt;=0.6,"Moderado",IF(AB10&lt;=0.8,"Mayor","Catastrófico"))))),"")</f>
        <v>Mayor</v>
      </c>
      <c r="AB10" s="142">
        <f>IFERROR(IF(Q10="Impacto",(M10-(+M10*T10)),IF(Q10="Probabilidad",M10,"")),"")</f>
        <v>0.8</v>
      </c>
      <c r="AC10" s="14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44" t="s">
        <v>136</v>
      </c>
      <c r="AE10" s="145" t="s">
        <v>252</v>
      </c>
      <c r="AF10" s="145" t="s">
        <v>223</v>
      </c>
      <c r="AG10" s="145" t="s">
        <v>217</v>
      </c>
      <c r="AH10" s="146">
        <v>45292</v>
      </c>
      <c r="AI10" s="151" t="s">
        <v>236</v>
      </c>
      <c r="AJ10" s="145"/>
      <c r="AK10" s="147" t="s">
        <v>40</v>
      </c>
      <c r="AL10" s="160">
        <v>0</v>
      </c>
      <c r="AM10" s="162" t="s">
        <v>264</v>
      </c>
      <c r="AN10" s="164" t="s">
        <v>265</v>
      </c>
      <c r="AO10" s="166">
        <v>0.6</v>
      </c>
      <c r="AP10" s="162" t="s">
        <v>295</v>
      </c>
      <c r="AQ10" s="161" t="s">
        <v>296</v>
      </c>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row>
    <row r="11" spans="1:68" ht="160.5" customHeight="1" x14ac:dyDescent="0.3">
      <c r="A11" s="224"/>
      <c r="B11" s="215"/>
      <c r="C11" s="215"/>
      <c r="D11" s="215"/>
      <c r="E11" s="227"/>
      <c r="F11" s="215"/>
      <c r="G11" s="218"/>
      <c r="H11" s="221"/>
      <c r="I11" s="233"/>
      <c r="J11" s="236"/>
      <c r="K11" s="233">
        <f ca="1">IF(NOT(ISERROR(MATCH(J11,_xlfn.ANCHORARRAY(E22),0))),I24&amp;"Por favor no seleccionar los criterios de impacto",J11)</f>
        <v>0</v>
      </c>
      <c r="L11" s="221"/>
      <c r="M11" s="233"/>
      <c r="N11" s="230"/>
      <c r="O11" s="6">
        <v>2</v>
      </c>
      <c r="P11" s="157" t="s">
        <v>251</v>
      </c>
      <c r="Q11" s="137" t="str">
        <f>IF(OR(R11="Preventivo",R11="Detectivo"),"Probabilidad",IF(R11="Correctivo","Impacto",""))</f>
        <v>Probabilidad</v>
      </c>
      <c r="R11" s="138" t="s">
        <v>14</v>
      </c>
      <c r="S11" s="138" t="s">
        <v>10</v>
      </c>
      <c r="T11" s="139" t="str">
        <f t="shared" ref="T11:T15" si="0">IF(AND(R11="Preventivo",S11="Automático"),"50%",IF(AND(R11="Preventivo",S11="Manual"),"40%",IF(AND(R11="Detectivo",S11="Automático"),"40%",IF(AND(R11="Detectivo",S11="Manual"),"30%",IF(AND(R11="Correctivo",S11="Automático"),"35%",IF(AND(R11="Correctivo",S11="Manual"),"25%",""))))))</f>
        <v>50%</v>
      </c>
      <c r="U11" s="138" t="s">
        <v>19</v>
      </c>
      <c r="V11" s="138" t="s">
        <v>22</v>
      </c>
      <c r="W11" s="138" t="s">
        <v>118</v>
      </c>
      <c r="X11" s="140">
        <f>IFERROR(IF(AND(Q10="Probabilidad",Q11="Probabilidad"),(Z10-(+Z10*T11)),IF(Q11="Probabilidad",(I10-(+I10*T11)),IF(Q11="Impacto",Z10,""))),"")</f>
        <v>0.1</v>
      </c>
      <c r="Y11" s="141" t="str">
        <f t="shared" ref="Y11:Y69" si="1">IFERROR(IF(X11="","",IF(X11&lt;=0.2,"Muy Baja",IF(X11&lt;=0.4,"Baja",IF(X11&lt;=0.6,"Media",IF(X11&lt;=0.8,"Alta","Muy Alta"))))),"")</f>
        <v>Muy Baja</v>
      </c>
      <c r="Z11" s="142">
        <f t="shared" ref="Z11:Z15" si="2">+X11</f>
        <v>0.1</v>
      </c>
      <c r="AA11" s="141" t="str">
        <f t="shared" ref="AA11:AA69" si="3">IFERROR(IF(AB11="","",IF(AB11&lt;=0.2,"Leve",IF(AB11&lt;=0.4,"Menor",IF(AB11&lt;=0.6,"Moderado",IF(AB11&lt;=0.8,"Mayor","Catastrófico"))))),"")</f>
        <v>Mayor</v>
      </c>
      <c r="AB11" s="142">
        <f>IFERROR(IF(AND(Q10="Impacto",Q11="Impacto"),(AB10-(+AB10*T11)),IF(Q11="Impacto",(M10-(+M10*T11)),IF(Q11="Probabilidad",AB10,""))),"")</f>
        <v>0.8</v>
      </c>
      <c r="AC11" s="14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44" t="s">
        <v>136</v>
      </c>
      <c r="AE11" s="145" t="s">
        <v>253</v>
      </c>
      <c r="AF11" s="145" t="s">
        <v>223</v>
      </c>
      <c r="AG11" s="145" t="s">
        <v>217</v>
      </c>
      <c r="AH11" s="146">
        <v>45292</v>
      </c>
      <c r="AI11" s="151">
        <v>45534</v>
      </c>
      <c r="AJ11" s="155"/>
      <c r="AK11" s="163" t="s">
        <v>40</v>
      </c>
      <c r="AL11" s="160">
        <v>1</v>
      </c>
      <c r="AM11" s="162" t="s">
        <v>266</v>
      </c>
      <c r="AN11" s="165" t="s">
        <v>267</v>
      </c>
      <c r="AO11" s="166" t="s">
        <v>262</v>
      </c>
      <c r="AP11" s="160" t="s">
        <v>262</v>
      </c>
      <c r="AQ11" s="161" t="s">
        <v>300</v>
      </c>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151.5" hidden="1" customHeight="1" x14ac:dyDescent="0.3">
      <c r="A12" s="224"/>
      <c r="B12" s="215"/>
      <c r="C12" s="215"/>
      <c r="D12" s="215"/>
      <c r="E12" s="227"/>
      <c r="F12" s="215"/>
      <c r="G12" s="218"/>
      <c r="H12" s="221"/>
      <c r="I12" s="233"/>
      <c r="J12" s="236"/>
      <c r="K12" s="233">
        <f ca="1">IF(NOT(ISERROR(MATCH(J12,_xlfn.ANCHORARRAY(E23),0))),I25&amp;"Por favor no seleccionar los criterios de impacto",J12)</f>
        <v>0</v>
      </c>
      <c r="L12" s="221"/>
      <c r="M12" s="233"/>
      <c r="N12" s="230"/>
      <c r="O12" s="6">
        <v>3</v>
      </c>
      <c r="P12" s="158"/>
      <c r="Q12" s="137"/>
      <c r="R12" s="138"/>
      <c r="S12" s="138"/>
      <c r="T12" s="139"/>
      <c r="U12" s="138"/>
      <c r="V12" s="138"/>
      <c r="W12" s="138"/>
      <c r="X12" s="140"/>
      <c r="Y12" s="128"/>
      <c r="Z12" s="129"/>
      <c r="AA12" s="141"/>
      <c r="AB12" s="142"/>
      <c r="AC12" s="143"/>
      <c r="AD12" s="144"/>
      <c r="AE12" s="145"/>
      <c r="AF12" s="145"/>
      <c r="AG12" s="145"/>
      <c r="AH12" s="146"/>
      <c r="AI12" s="151"/>
      <c r="AJ12" s="145"/>
      <c r="AK12" s="147"/>
      <c r="AL12" s="160"/>
      <c r="AM12" s="161"/>
      <c r="AN12" s="165"/>
      <c r="AO12" s="166"/>
      <c r="AP12" s="161"/>
      <c r="AQ12" s="161"/>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32.25" hidden="1" customHeight="1" x14ac:dyDescent="0.3">
      <c r="A13" s="224"/>
      <c r="B13" s="215"/>
      <c r="C13" s="215"/>
      <c r="D13" s="215"/>
      <c r="E13" s="227"/>
      <c r="F13" s="215"/>
      <c r="G13" s="218"/>
      <c r="H13" s="221"/>
      <c r="I13" s="233"/>
      <c r="J13" s="236"/>
      <c r="K13" s="233">
        <f ca="1">IF(NOT(ISERROR(MATCH(J13,_xlfn.ANCHORARRAY(E24),0))),I26&amp;"Por favor no seleccionar los criterios de impacto",J13)</f>
        <v>0</v>
      </c>
      <c r="L13" s="221"/>
      <c r="M13" s="233"/>
      <c r="N13" s="230"/>
      <c r="O13" s="122">
        <v>4</v>
      </c>
      <c r="P13" s="123"/>
      <c r="Q13" s="124" t="str">
        <f t="shared" ref="Q13:Q15" si="5">IF(OR(R13="Preventivo",R13="Detectivo"),"Probabilidad",IF(R13="Correctivo","Impacto",""))</f>
        <v/>
      </c>
      <c r="R13" s="125"/>
      <c r="S13" s="125"/>
      <c r="T13" s="126" t="str">
        <f t="shared" si="0"/>
        <v/>
      </c>
      <c r="U13" s="125"/>
      <c r="V13" s="125"/>
      <c r="W13" s="125"/>
      <c r="X13" s="127" t="str">
        <f>IFERROR(IF(AND(#REF!="Probabilidad",Q13="Probabilidad"),(Z12-(+Z12*T13)),IF(AND(#REF!="Impacto",Q13="Probabilidad"),(Z11-(+Z11*T13)),IF(Q13="Impacto",Z12,""))),"")</f>
        <v/>
      </c>
      <c r="Y13" s="128" t="str">
        <f t="shared" si="1"/>
        <v/>
      </c>
      <c r="Z13" s="129" t="str">
        <f t="shared" si="2"/>
        <v/>
      </c>
      <c r="AA13" s="128" t="str">
        <f t="shared" si="3"/>
        <v/>
      </c>
      <c r="AB13" s="129" t="str">
        <f>IFERROR(IF(AND(#REF!="Impacto",Q13="Impacto"),(AB12-(+AB12*T13)),IF(AND(#REF!="Probabilidad",Q13="Impacto"),(AB11-(+AB11*T13)),IF(Q13="Probabilidad",AB12,""))),"")</f>
        <v/>
      </c>
      <c r="AC13" s="13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44"/>
      <c r="AE13" s="131"/>
      <c r="AF13" s="145" t="s">
        <v>223</v>
      </c>
      <c r="AG13" s="131"/>
      <c r="AH13" s="133"/>
      <c r="AI13" s="133"/>
      <c r="AJ13" s="145"/>
      <c r="AK13" s="147"/>
      <c r="AL13" s="160"/>
      <c r="AM13" s="161"/>
      <c r="AN13" s="165"/>
      <c r="AO13" s="166"/>
      <c r="AP13" s="161"/>
      <c r="AQ13" s="161"/>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36" hidden="1" customHeight="1" x14ac:dyDescent="0.3">
      <c r="A14" s="224"/>
      <c r="B14" s="215"/>
      <c r="C14" s="215"/>
      <c r="D14" s="215"/>
      <c r="E14" s="227"/>
      <c r="F14" s="215"/>
      <c r="G14" s="218"/>
      <c r="H14" s="221"/>
      <c r="I14" s="233"/>
      <c r="J14" s="236"/>
      <c r="K14" s="233">
        <f ca="1">IF(NOT(ISERROR(MATCH(J14,_xlfn.ANCHORARRAY(E25),0))),I27&amp;"Por favor no seleccionar los criterios de impacto",J14)</f>
        <v>0</v>
      </c>
      <c r="L14" s="221"/>
      <c r="M14" s="233"/>
      <c r="N14" s="230"/>
      <c r="O14" s="122">
        <v>5</v>
      </c>
      <c r="P14" s="123"/>
      <c r="Q14" s="124" t="str">
        <f t="shared" si="5"/>
        <v/>
      </c>
      <c r="R14" s="125"/>
      <c r="S14" s="125"/>
      <c r="T14" s="126" t="str">
        <f t="shared" si="0"/>
        <v/>
      </c>
      <c r="U14" s="125"/>
      <c r="V14" s="125"/>
      <c r="W14" s="125"/>
      <c r="X14" s="127" t="str">
        <f t="shared" ref="X14:X15" si="6">IFERROR(IF(AND(Q13="Probabilidad",Q14="Probabilidad"),(Z13-(+Z13*T14)),IF(AND(Q13="Impacto",Q14="Probabilidad"),(Z12-(+Z12*T14)),IF(Q14="Impacto",Z13,""))),"")</f>
        <v/>
      </c>
      <c r="Y14" s="128" t="str">
        <f t="shared" si="1"/>
        <v/>
      </c>
      <c r="Z14" s="129" t="str">
        <f t="shared" si="2"/>
        <v/>
      </c>
      <c r="AA14" s="128" t="str">
        <f t="shared" si="3"/>
        <v/>
      </c>
      <c r="AB14" s="129" t="str">
        <f t="shared" ref="AB14:AB15" si="7">IFERROR(IF(AND(Q13="Impacto",Q14="Impacto"),(AB13-(+AB13*T14)),IF(AND(Q13="Probabilidad",Q14="Impacto"),(AB12-(+AB12*T14)),IF(Q14="Probabilidad",AB13,""))),"")</f>
        <v/>
      </c>
      <c r="AC14" s="130" t="str">
        <f t="shared" si="4"/>
        <v/>
      </c>
      <c r="AD14" s="144"/>
      <c r="AE14" s="131"/>
      <c r="AF14" s="145" t="s">
        <v>223</v>
      </c>
      <c r="AG14" s="131"/>
      <c r="AH14" s="133"/>
      <c r="AI14" s="133"/>
      <c r="AJ14" s="145"/>
      <c r="AK14" s="147"/>
      <c r="AL14" s="160"/>
      <c r="AM14" s="161"/>
      <c r="AN14" s="165"/>
      <c r="AO14" s="166"/>
      <c r="AP14" s="161"/>
      <c r="AQ14" s="161"/>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46.5" hidden="1" customHeight="1" x14ac:dyDescent="0.3">
      <c r="A15" s="225"/>
      <c r="B15" s="216"/>
      <c r="C15" s="216"/>
      <c r="D15" s="216"/>
      <c r="E15" s="228"/>
      <c r="F15" s="216"/>
      <c r="G15" s="219"/>
      <c r="H15" s="222"/>
      <c r="I15" s="234"/>
      <c r="J15" s="237"/>
      <c r="K15" s="234">
        <f ca="1">IF(NOT(ISERROR(MATCH(J15,_xlfn.ANCHORARRAY(E26),0))),I28&amp;"Por favor no seleccionar los criterios de impacto",J15)</f>
        <v>0</v>
      </c>
      <c r="L15" s="222"/>
      <c r="M15" s="234"/>
      <c r="N15" s="231"/>
      <c r="O15" s="122">
        <v>6</v>
      </c>
      <c r="P15" s="123"/>
      <c r="Q15" s="124" t="str">
        <f t="shared" si="5"/>
        <v/>
      </c>
      <c r="R15" s="125"/>
      <c r="S15" s="125"/>
      <c r="T15" s="126" t="str">
        <f t="shared" si="0"/>
        <v/>
      </c>
      <c r="U15" s="125"/>
      <c r="V15" s="125"/>
      <c r="W15" s="125"/>
      <c r="X15" s="127" t="str">
        <f t="shared" si="6"/>
        <v/>
      </c>
      <c r="Y15" s="128" t="str">
        <f t="shared" si="1"/>
        <v/>
      </c>
      <c r="Z15" s="129" t="str">
        <f t="shared" si="2"/>
        <v/>
      </c>
      <c r="AA15" s="128" t="str">
        <f t="shared" si="3"/>
        <v/>
      </c>
      <c r="AB15" s="129" t="str">
        <f t="shared" si="7"/>
        <v/>
      </c>
      <c r="AC15" s="130" t="str">
        <f t="shared" si="4"/>
        <v/>
      </c>
      <c r="AD15" s="144"/>
      <c r="AE15" s="131"/>
      <c r="AF15" s="145" t="s">
        <v>223</v>
      </c>
      <c r="AG15" s="131"/>
      <c r="AH15" s="133"/>
      <c r="AI15" s="133"/>
      <c r="AJ15" s="145"/>
      <c r="AK15" s="147"/>
      <c r="AL15" s="160"/>
      <c r="AM15" s="161"/>
      <c r="AN15" s="165"/>
      <c r="AO15" s="166"/>
      <c r="AP15" s="161"/>
      <c r="AQ15" s="161"/>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213.75" customHeight="1" x14ac:dyDescent="0.3">
      <c r="A16" s="241">
        <v>2</v>
      </c>
      <c r="B16" s="214" t="s">
        <v>133</v>
      </c>
      <c r="C16" s="214" t="s">
        <v>244</v>
      </c>
      <c r="D16" s="214" t="s">
        <v>231</v>
      </c>
      <c r="E16" s="226" t="s">
        <v>237</v>
      </c>
      <c r="F16" s="214" t="s">
        <v>122</v>
      </c>
      <c r="G16" s="217">
        <v>1257</v>
      </c>
      <c r="H16" s="220" t="str">
        <f>IF(G16&lt;=0,"",IF(G16&lt;=2,"Muy Baja",IF(G16&lt;=24,"Baja",IF(G16&lt;=500,"Media",IF(G16&lt;=5000,"Alta","Muy Alta")))))</f>
        <v>Alta</v>
      </c>
      <c r="I16" s="232">
        <f>IF(H16="","",IF(H16="Muy Baja",0.2,IF(H16="Baja",0.4,IF(H16="Media",0.6,IF(H16="Alta",0.8,IF(H16="Muy Alta",1,))))))</f>
        <v>0.8</v>
      </c>
      <c r="J16" s="235" t="s">
        <v>154</v>
      </c>
      <c r="K16" s="238" t="str">
        <f>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20" t="str">
        <f>IF(OR(K16='Tabla Impacto'!$C$11,K16='Tabla Impacto'!$D$11),"Leve",IF(OR(K16='Tabla Impacto'!$C$12,K16='Tabla Impacto'!$D$12),"Menor",IF(OR(K16='Tabla Impacto'!$C$13,K16='Tabla Impacto'!$D$13),"Moderado",IF(OR(K16='Tabla Impacto'!$C$14,K16='Tabla Impacto'!$D$14),"Mayor",IF(OR(K16='Tabla Impacto'!$C$15,K16='Tabla Impacto'!$D$15),"Catastrófico","")))))</f>
        <v>Mayor</v>
      </c>
      <c r="M16" s="232">
        <f>IF(L16="","",IF(L16="Leve",0.2,IF(L16="Menor",0.4,IF(L16="Moderado",0.6,IF(L16="Mayor",0.8,IF(L16="Catastrófico",1,))))))</f>
        <v>0.8</v>
      </c>
      <c r="N16" s="229"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6">
        <v>1</v>
      </c>
      <c r="P16" s="152" t="s">
        <v>245</v>
      </c>
      <c r="Q16" s="137" t="str">
        <f>IF(OR(R16="Preventivo",R16="Detectivo"),"Probabilidad",IF(R16="Correctivo","Impacto",""))</f>
        <v>Probabilidad</v>
      </c>
      <c r="R16" s="138" t="s">
        <v>14</v>
      </c>
      <c r="S16" s="138" t="s">
        <v>10</v>
      </c>
      <c r="T16" s="139" t="str">
        <f>IF(AND(R16="Preventivo",S16="Automático"),"50%",IF(AND(R16="Preventivo",S16="Manual"),"40%",IF(AND(R16="Detectivo",S16="Automático"),"40%",IF(AND(R16="Detectivo",S16="Manual"),"30%",IF(AND(R16="Correctivo",S16="Automático"),"35%",IF(AND(R16="Correctivo",S16="Manual"),"25%",""))))))</f>
        <v>50%</v>
      </c>
      <c r="U16" s="138" t="s">
        <v>19</v>
      </c>
      <c r="V16" s="138" t="s">
        <v>22</v>
      </c>
      <c r="W16" s="138" t="s">
        <v>118</v>
      </c>
      <c r="X16" s="140">
        <f>IFERROR(IF(Q16="Probabilidad",(I16-(+I16*T16)),IF(Q16="Impacto",I16,"")),"")</f>
        <v>0.4</v>
      </c>
      <c r="Y16" s="141" t="str">
        <f>IFERROR(IF(X16="","",IF(X16&lt;=0.2,"Muy Baja",IF(X16&lt;=0.4,"Baja",IF(X16&lt;=0.6,"Media",IF(X16&lt;=0.8,"Alta","Muy Alta"))))),"")</f>
        <v>Baja</v>
      </c>
      <c r="Z16" s="142">
        <f>+X16</f>
        <v>0.4</v>
      </c>
      <c r="AA16" s="141" t="str">
        <f>IFERROR(IF(AB16="","",IF(AB16&lt;=0.2,"Leve",IF(AB16&lt;=0.4,"Menor",IF(AB16&lt;=0.6,"Moderado",IF(AB16&lt;=0.8,"Mayor","Catastrófico"))))),"")</f>
        <v>Mayor</v>
      </c>
      <c r="AB16" s="142">
        <f>IFERROR(IF(Q16="Impacto",(M16-(+M16*T16)),IF(Q16="Probabilidad",M16,"")),"")</f>
        <v>0.8</v>
      </c>
      <c r="AC16" s="14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44" t="s">
        <v>135</v>
      </c>
      <c r="AE16" s="145" t="s">
        <v>247</v>
      </c>
      <c r="AF16" s="145" t="s">
        <v>223</v>
      </c>
      <c r="AG16" s="145" t="s">
        <v>217</v>
      </c>
      <c r="AH16" s="146">
        <v>45292</v>
      </c>
      <c r="AI16" s="151" t="s">
        <v>236</v>
      </c>
      <c r="AJ16" s="145"/>
      <c r="AK16" s="147" t="s">
        <v>40</v>
      </c>
      <c r="AL16" s="160">
        <v>0</v>
      </c>
      <c r="AM16" s="162" t="s">
        <v>268</v>
      </c>
      <c r="AN16" s="165" t="s">
        <v>269</v>
      </c>
      <c r="AO16" s="166">
        <v>1</v>
      </c>
      <c r="AP16" s="162" t="s">
        <v>297</v>
      </c>
      <c r="AQ16" s="161" t="s">
        <v>298</v>
      </c>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153.75" customHeight="1" x14ac:dyDescent="0.3">
      <c r="A17" s="242"/>
      <c r="B17" s="215"/>
      <c r="C17" s="215"/>
      <c r="D17" s="215"/>
      <c r="E17" s="227"/>
      <c r="F17" s="215"/>
      <c r="G17" s="218"/>
      <c r="H17" s="221"/>
      <c r="I17" s="233"/>
      <c r="J17" s="236"/>
      <c r="K17" s="239">
        <f ca="1">IF(NOT(ISERROR(MATCH(J17,_xlfn.ANCHORARRAY(E28),0))),I30&amp;"Por favor no seleccionar los criterios de impacto",J17)</f>
        <v>0</v>
      </c>
      <c r="L17" s="221"/>
      <c r="M17" s="233"/>
      <c r="N17" s="230"/>
      <c r="O17" s="6">
        <v>2</v>
      </c>
      <c r="P17" s="149" t="s">
        <v>246</v>
      </c>
      <c r="Q17" s="137" t="str">
        <f>IF(OR(R17="Preventivo",R17="Detectivo"),"Probabilidad",IF(R17="Correctivo","Impacto",""))</f>
        <v>Probabilidad</v>
      </c>
      <c r="R17" s="138" t="s">
        <v>14</v>
      </c>
      <c r="S17" s="138" t="s">
        <v>10</v>
      </c>
      <c r="T17" s="139" t="str">
        <f t="shared" ref="T17:T21" si="8">IF(AND(R17="Preventivo",S17="Automático"),"50%",IF(AND(R17="Preventivo",S17="Manual"),"40%",IF(AND(R17="Detectivo",S17="Automático"),"40%",IF(AND(R17="Detectivo",S17="Manual"),"30%",IF(AND(R17="Correctivo",S17="Automático"),"35%",IF(AND(R17="Correctivo",S17="Manual"),"25%",""))))))</f>
        <v>50%</v>
      </c>
      <c r="U17" s="138" t="s">
        <v>19</v>
      </c>
      <c r="V17" s="138" t="s">
        <v>22</v>
      </c>
      <c r="W17" s="138" t="s">
        <v>118</v>
      </c>
      <c r="X17" s="140">
        <f>IFERROR(IF(AND(Q16="Probabilidad",Q17="Probabilidad"),(Z16-(+Z16*T17)),IF(Q17="Probabilidad",(I16-(+I16*T17)),IF(Q17="Impacto",Z16,""))),"")</f>
        <v>0.2</v>
      </c>
      <c r="Y17" s="141" t="str">
        <f t="shared" si="1"/>
        <v>Muy Baja</v>
      </c>
      <c r="Z17" s="142">
        <f t="shared" ref="Z17:Z21" si="9">+X17</f>
        <v>0.2</v>
      </c>
      <c r="AA17" s="141" t="str">
        <f t="shared" si="3"/>
        <v>Mayor</v>
      </c>
      <c r="AB17" s="142">
        <f>IFERROR(IF(AND(Q16="Impacto",Q17="Impacto"),(AB16-(+AB16*T17)),IF(Q17="Impacto",(M16-(+M16*T17)),IF(Q17="Probabilidad",AB16,""))),"")</f>
        <v>0.8</v>
      </c>
      <c r="AC17" s="14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144" t="s">
        <v>135</v>
      </c>
      <c r="AE17" s="145" t="s">
        <v>248</v>
      </c>
      <c r="AF17" s="145" t="s">
        <v>223</v>
      </c>
      <c r="AG17" s="145" t="s">
        <v>217</v>
      </c>
      <c r="AH17" s="146">
        <v>45292</v>
      </c>
      <c r="AI17" s="151" t="s">
        <v>236</v>
      </c>
      <c r="AJ17" s="145"/>
      <c r="AK17" s="147" t="s">
        <v>40</v>
      </c>
      <c r="AL17" s="160">
        <v>1</v>
      </c>
      <c r="AM17" s="161" t="s">
        <v>270</v>
      </c>
      <c r="AN17" s="165" t="s">
        <v>271</v>
      </c>
      <c r="AO17" s="166">
        <v>1</v>
      </c>
      <c r="AP17" s="161" t="s">
        <v>270</v>
      </c>
      <c r="AQ17" s="161" t="s">
        <v>299</v>
      </c>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151.5" hidden="1" customHeight="1" x14ac:dyDescent="0.3">
      <c r="A18" s="242"/>
      <c r="B18" s="215"/>
      <c r="C18" s="215"/>
      <c r="D18" s="215"/>
      <c r="E18" s="227"/>
      <c r="F18" s="215"/>
      <c r="G18" s="218"/>
      <c r="H18" s="221"/>
      <c r="I18" s="233"/>
      <c r="J18" s="236"/>
      <c r="K18" s="239">
        <f ca="1">IF(NOT(ISERROR(MATCH(J18,_xlfn.ANCHORARRAY(E29),0))),I31&amp;"Por favor no seleccionar los criterios de impacto",J18)</f>
        <v>0</v>
      </c>
      <c r="L18" s="221"/>
      <c r="M18" s="233"/>
      <c r="N18" s="230"/>
      <c r="O18" s="6">
        <v>3</v>
      </c>
      <c r="P18" s="149"/>
      <c r="Q18" s="137" t="str">
        <f>IF(OR(R18="Preventivo",R18="Detectivo"),"Probabilidad",IF(R18="Correctivo","Impacto",""))</f>
        <v>Probabilidad</v>
      </c>
      <c r="R18" s="138" t="s">
        <v>14</v>
      </c>
      <c r="S18" s="138" t="s">
        <v>10</v>
      </c>
      <c r="T18" s="139" t="str">
        <f t="shared" si="8"/>
        <v>50%</v>
      </c>
      <c r="U18" s="138" t="s">
        <v>19</v>
      </c>
      <c r="V18" s="138" t="s">
        <v>22</v>
      </c>
      <c r="W18" s="138" t="s">
        <v>118</v>
      </c>
      <c r="X18" s="140">
        <f>IFERROR(IF(AND(Q17="Probabilidad",Q18="Probabilidad"),(Z17-(+Z17*T18)),IF(AND(Q17="Impacto",Q18="Probabilidad"),(Z16-(+Z16*T18)),IF(Q18="Impacto",Z17,""))),"")</f>
        <v>0.1</v>
      </c>
      <c r="Y18" s="141" t="str">
        <f t="shared" si="1"/>
        <v>Muy Baja</v>
      </c>
      <c r="Z18" s="142">
        <f t="shared" si="9"/>
        <v>0.1</v>
      </c>
      <c r="AA18" s="141" t="str">
        <f t="shared" si="3"/>
        <v>Mayor</v>
      </c>
      <c r="AB18" s="142">
        <f>IFERROR(IF(AND(Q17="Impacto",Q18="Impacto"),(AB17-(+AB17*T18)),IF(AND(Q17="Probabilidad",Q18="Impacto"),(AB16-(+AB16*T18)),IF(Q18="Probabilidad",AB17,""))),"")</f>
        <v>0.8</v>
      </c>
      <c r="AC18" s="143" t="str">
        <f t="shared" si="10"/>
        <v>Alto</v>
      </c>
      <c r="AD18" s="144"/>
      <c r="AE18" s="145"/>
      <c r="AF18" s="145" t="s">
        <v>223</v>
      </c>
      <c r="AG18" s="145" t="s">
        <v>217</v>
      </c>
      <c r="AH18" s="146">
        <v>44927</v>
      </c>
      <c r="AI18" s="146">
        <v>45291</v>
      </c>
      <c r="AJ18" s="145"/>
      <c r="AK18" s="147"/>
      <c r="AL18" s="160"/>
      <c r="AM18" s="161"/>
      <c r="AN18" s="165"/>
      <c r="AO18" s="166"/>
      <c r="AP18" s="161"/>
      <c r="AQ18" s="161"/>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151.5" hidden="1" customHeight="1" x14ac:dyDescent="0.3">
      <c r="A19" s="242"/>
      <c r="B19" s="215"/>
      <c r="C19" s="215"/>
      <c r="D19" s="215"/>
      <c r="E19" s="227"/>
      <c r="F19" s="215"/>
      <c r="G19" s="218"/>
      <c r="H19" s="221"/>
      <c r="I19" s="233"/>
      <c r="J19" s="236"/>
      <c r="K19" s="239">
        <f ca="1">IF(NOT(ISERROR(MATCH(J19,_xlfn.ANCHORARRAY(E30),0))),I32&amp;"Por favor no seleccionar los criterios de impacto",J19)</f>
        <v>0</v>
      </c>
      <c r="L19" s="221"/>
      <c r="M19" s="233"/>
      <c r="N19" s="230"/>
      <c r="O19" s="6">
        <v>4</v>
      </c>
      <c r="P19" s="149"/>
      <c r="Q19" s="137" t="str">
        <f t="shared" ref="Q19:Q21" si="11">IF(OR(R19="Preventivo",R19="Detectivo"),"Probabilidad",IF(R19="Correctivo","Impacto",""))</f>
        <v/>
      </c>
      <c r="R19" s="125"/>
      <c r="S19" s="125"/>
      <c r="T19" s="126" t="str">
        <f t="shared" si="8"/>
        <v/>
      </c>
      <c r="U19" s="125"/>
      <c r="V19" s="125"/>
      <c r="W19" s="125"/>
      <c r="X19" s="127" t="str">
        <f t="shared" ref="X19:X21" si="12">IFERROR(IF(AND(Q18="Probabilidad",Q19="Probabilidad"),(Z18-(+Z18*T19)),IF(AND(Q18="Impacto",Q19="Probabilidad"),(Z17-(+Z17*T19)),IF(Q19="Impacto",Z18,""))),"")</f>
        <v/>
      </c>
      <c r="Y19" s="128" t="str">
        <f t="shared" si="1"/>
        <v/>
      </c>
      <c r="Z19" s="129" t="str">
        <f t="shared" si="9"/>
        <v/>
      </c>
      <c r="AA19" s="128" t="str">
        <f t="shared" si="3"/>
        <v/>
      </c>
      <c r="AB19" s="129" t="str">
        <f t="shared" ref="AB19:AB21" si="13">IFERROR(IF(AND(Q18="Impacto",Q19="Impacto"),(AB18-(+AB18*T19)),IF(AND(Q18="Probabilidad",Q19="Impacto"),(AB17-(+AB17*T19)),IF(Q19="Probabilidad",AB18,""))),"")</f>
        <v/>
      </c>
      <c r="AC19" s="130"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44"/>
      <c r="AE19" s="131"/>
      <c r="AF19" s="145" t="s">
        <v>223</v>
      </c>
      <c r="AG19" s="131" t="s">
        <v>212</v>
      </c>
      <c r="AH19" s="133"/>
      <c r="AI19" s="133"/>
      <c r="AJ19" s="145"/>
      <c r="AK19" s="147"/>
      <c r="AL19" s="160"/>
      <c r="AM19" s="161"/>
      <c r="AN19" s="165"/>
      <c r="AO19" s="166"/>
      <c r="AP19" s="161"/>
      <c r="AQ19" s="161"/>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151.5" hidden="1" customHeight="1" x14ac:dyDescent="0.3">
      <c r="A20" s="242"/>
      <c r="B20" s="215"/>
      <c r="C20" s="215"/>
      <c r="D20" s="215"/>
      <c r="E20" s="227"/>
      <c r="F20" s="215"/>
      <c r="G20" s="218"/>
      <c r="H20" s="221"/>
      <c r="I20" s="233"/>
      <c r="J20" s="236"/>
      <c r="K20" s="239">
        <f ca="1">IF(NOT(ISERROR(MATCH(J20,_xlfn.ANCHORARRAY(E31),0))),I33&amp;"Por favor no seleccionar los criterios de impacto",J20)</f>
        <v>0</v>
      </c>
      <c r="L20" s="221"/>
      <c r="M20" s="233"/>
      <c r="N20" s="230"/>
      <c r="O20" s="6">
        <v>5</v>
      </c>
      <c r="P20" s="149"/>
      <c r="Q20" s="137" t="str">
        <f t="shared" si="11"/>
        <v/>
      </c>
      <c r="R20" s="125"/>
      <c r="S20" s="125"/>
      <c r="T20" s="126" t="str">
        <f t="shared" si="8"/>
        <v/>
      </c>
      <c r="U20" s="125"/>
      <c r="V20" s="125"/>
      <c r="W20" s="125"/>
      <c r="X20" s="127" t="str">
        <f t="shared" si="12"/>
        <v/>
      </c>
      <c r="Y20" s="128" t="str">
        <f t="shared" si="1"/>
        <v/>
      </c>
      <c r="Z20" s="129" t="str">
        <f t="shared" si="9"/>
        <v/>
      </c>
      <c r="AA20" s="128" t="str">
        <f t="shared" si="3"/>
        <v/>
      </c>
      <c r="AB20" s="129" t="str">
        <f t="shared" si="13"/>
        <v/>
      </c>
      <c r="AC20" s="130"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44"/>
      <c r="AE20" s="131"/>
      <c r="AF20" s="145" t="s">
        <v>223</v>
      </c>
      <c r="AG20" s="131" t="s">
        <v>212</v>
      </c>
      <c r="AH20" s="133"/>
      <c r="AI20" s="133"/>
      <c r="AJ20" s="145"/>
      <c r="AK20" s="147"/>
      <c r="AL20" s="160"/>
      <c r="AM20" s="161"/>
      <c r="AN20" s="165"/>
      <c r="AO20" s="166"/>
      <c r="AP20" s="161"/>
      <c r="AQ20" s="161"/>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13.9" hidden="1" customHeight="1" x14ac:dyDescent="0.3">
      <c r="A21" s="243"/>
      <c r="B21" s="216"/>
      <c r="C21" s="216"/>
      <c r="D21" s="216"/>
      <c r="E21" s="228"/>
      <c r="F21" s="216"/>
      <c r="G21" s="219"/>
      <c r="H21" s="222"/>
      <c r="I21" s="234"/>
      <c r="J21" s="237"/>
      <c r="K21" s="240">
        <f ca="1">IF(NOT(ISERROR(MATCH(J21,_xlfn.ANCHORARRAY(E32),0))),I34&amp;"Por favor no seleccionar los criterios de impacto",J21)</f>
        <v>0</v>
      </c>
      <c r="L21" s="222"/>
      <c r="M21" s="234"/>
      <c r="N21" s="231"/>
      <c r="O21" s="6">
        <v>6</v>
      </c>
      <c r="P21" s="153"/>
      <c r="Q21" s="137" t="str">
        <f t="shared" si="11"/>
        <v/>
      </c>
      <c r="R21" s="125"/>
      <c r="S21" s="125"/>
      <c r="T21" s="126" t="str">
        <f t="shared" si="8"/>
        <v/>
      </c>
      <c r="U21" s="125"/>
      <c r="V21" s="125"/>
      <c r="W21" s="125"/>
      <c r="X21" s="127" t="str">
        <f t="shared" si="12"/>
        <v/>
      </c>
      <c r="Y21" s="128" t="str">
        <f t="shared" si="1"/>
        <v/>
      </c>
      <c r="Z21" s="129" t="str">
        <f t="shared" si="9"/>
        <v/>
      </c>
      <c r="AA21" s="128" t="str">
        <f t="shared" si="3"/>
        <v/>
      </c>
      <c r="AB21" s="129" t="str">
        <f t="shared" si="13"/>
        <v/>
      </c>
      <c r="AC21" s="130" t="str">
        <f t="shared" si="14"/>
        <v/>
      </c>
      <c r="AD21" s="144"/>
      <c r="AE21" s="131"/>
      <c r="AF21" s="145" t="s">
        <v>223</v>
      </c>
      <c r="AG21" s="131" t="s">
        <v>212</v>
      </c>
      <c r="AH21" s="133"/>
      <c r="AI21" s="133"/>
      <c r="AJ21" s="145"/>
      <c r="AK21" s="147"/>
      <c r="AL21" s="160"/>
      <c r="AM21" s="161"/>
      <c r="AN21" s="165"/>
      <c r="AO21" s="166"/>
      <c r="AP21" s="161"/>
      <c r="AQ21" s="161"/>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189" customHeight="1" x14ac:dyDescent="0.3">
      <c r="A22" s="223">
        <v>3</v>
      </c>
      <c r="B22" s="214" t="s">
        <v>133</v>
      </c>
      <c r="C22" s="214" t="s">
        <v>232</v>
      </c>
      <c r="D22" s="214" t="s">
        <v>232</v>
      </c>
      <c r="E22" s="226" t="s">
        <v>228</v>
      </c>
      <c r="F22" s="214" t="s">
        <v>122</v>
      </c>
      <c r="G22" s="217">
        <v>3</v>
      </c>
      <c r="H22" s="220" t="str">
        <f>IF(G22&lt;=0,"",IF(G22&lt;=2,"Muy Baja",IF(G22&lt;=24,"Baja",IF(G22&lt;=500,"Media",IF(G22&lt;=5000,"Alta","Muy Alta")))))</f>
        <v>Baja</v>
      </c>
      <c r="I22" s="232">
        <f>IF(H22="","",IF(H22="Muy Baja",0.2,IF(H22="Baja",0.4,IF(H22="Media",0.6,IF(H22="Alta",0.8,IF(H22="Muy Alta",1,))))))</f>
        <v>0.4</v>
      </c>
      <c r="J22" s="235" t="s">
        <v>153</v>
      </c>
      <c r="K22" s="232"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20" t="str">
        <f>IF(OR(K22='Tabla Impacto'!$C$11,K22='Tabla Impacto'!$D$11),"Leve",IF(OR(K22='Tabla Impacto'!$C$12,K22='Tabla Impacto'!$D$12),"Menor",IF(OR(K22='Tabla Impacto'!$C$13,K22='Tabla Impacto'!$D$13),"Moderado",IF(OR(K22='Tabla Impacto'!$C$14,K22='Tabla Impacto'!$D$14),"Mayor",IF(OR(K22='Tabla Impacto'!$C$15,K22='Tabla Impacto'!$D$15),"Catastrófico","")))))</f>
        <v>Moderado</v>
      </c>
      <c r="M22" s="232">
        <f>IF(L22="","",IF(L22="Leve",0.2,IF(L22="Menor",0.4,IF(L22="Moderado",0.6,IF(L22="Mayor",0.8,IF(L22="Catastrófico",1,))))))</f>
        <v>0.6</v>
      </c>
      <c r="N22" s="229"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6">
        <v>1</v>
      </c>
      <c r="P22" s="152" t="s">
        <v>218</v>
      </c>
      <c r="Q22" s="137" t="str">
        <f>IF(OR(R22="Preventivo",R22="Detectivo"),"Probabilidad",IF(R22="Correctivo","Impacto",""))</f>
        <v>Probabilidad</v>
      </c>
      <c r="R22" s="138" t="s">
        <v>15</v>
      </c>
      <c r="S22" s="138" t="s">
        <v>10</v>
      </c>
      <c r="T22" s="139" t="str">
        <f>IF(AND(R22="Preventivo",S22="Automático"),"50%",IF(AND(R22="Preventivo",S22="Manual"),"40%",IF(AND(R22="Detectivo",S22="Automático"),"40%",IF(AND(R22="Detectivo",S22="Manual"),"30%",IF(AND(R22="Correctivo",S22="Automático"),"35%",IF(AND(R22="Correctivo",S22="Manual"),"25%",""))))))</f>
        <v>40%</v>
      </c>
      <c r="U22" s="138" t="s">
        <v>19</v>
      </c>
      <c r="V22" s="138" t="s">
        <v>22</v>
      </c>
      <c r="W22" s="138" t="s">
        <v>118</v>
      </c>
      <c r="X22" s="140">
        <f>IFERROR(IF(Q22="Probabilidad",(I22-(+I22*T22)),IF(Q22="Impacto",I22,"")),"")</f>
        <v>0.24</v>
      </c>
      <c r="Y22" s="141" t="str">
        <f>IFERROR(IF(X22="","",IF(X22&lt;=0.2,"Muy Baja",IF(X22&lt;=0.4,"Baja",IF(X22&lt;=0.6,"Media",IF(X22&lt;=0.8,"Alta","Muy Alta"))))),"")</f>
        <v>Baja</v>
      </c>
      <c r="Z22" s="142">
        <f>+X22</f>
        <v>0.24</v>
      </c>
      <c r="AA22" s="141" t="str">
        <f>IFERROR(IF(AB22="","",IF(AB22&lt;=0.2,"Leve",IF(AB22&lt;=0.4,"Menor",IF(AB22&lt;=0.6,"Moderado",IF(AB22&lt;=0.8,"Mayor","Catastrófico"))))),"")</f>
        <v>Moderado</v>
      </c>
      <c r="AB22" s="142">
        <f>IFERROR(IF(Q22="Impacto",(M22-(+M22*T22)),IF(Q22="Probabilidad",M22,"")),"")</f>
        <v>0.6</v>
      </c>
      <c r="AC22" s="14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44" t="s">
        <v>32</v>
      </c>
      <c r="AE22" s="145" t="s">
        <v>221</v>
      </c>
      <c r="AF22" s="145" t="s">
        <v>288</v>
      </c>
      <c r="AG22" s="145" t="s">
        <v>217</v>
      </c>
      <c r="AH22" s="146">
        <v>45292</v>
      </c>
      <c r="AI22" s="151" t="s">
        <v>236</v>
      </c>
      <c r="AJ22" s="145"/>
      <c r="AK22" s="147" t="s">
        <v>40</v>
      </c>
      <c r="AL22" s="160">
        <v>1</v>
      </c>
      <c r="AM22" s="161" t="s">
        <v>272</v>
      </c>
      <c r="AN22" s="165" t="s">
        <v>274</v>
      </c>
      <c r="AO22" s="166">
        <v>1</v>
      </c>
      <c r="AP22" s="161" t="s">
        <v>282</v>
      </c>
      <c r="AQ22" s="161" t="s">
        <v>280</v>
      </c>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174" customHeight="1" x14ac:dyDescent="0.3">
      <c r="A23" s="224"/>
      <c r="B23" s="215"/>
      <c r="C23" s="215"/>
      <c r="D23" s="215"/>
      <c r="E23" s="227"/>
      <c r="F23" s="215"/>
      <c r="G23" s="218"/>
      <c r="H23" s="221"/>
      <c r="I23" s="233"/>
      <c r="J23" s="236"/>
      <c r="K23" s="233">
        <f t="shared" ref="K23:K27" ca="1" si="15">IF(NOT(ISERROR(MATCH(J23,_xlfn.ANCHORARRAY(E34),0))),I36&amp;"Por favor no seleccionar los criterios de impacto",J23)</f>
        <v>0</v>
      </c>
      <c r="L23" s="221"/>
      <c r="M23" s="233"/>
      <c r="N23" s="230"/>
      <c r="O23" s="6">
        <v>2</v>
      </c>
      <c r="P23" s="149" t="s">
        <v>219</v>
      </c>
      <c r="Q23" s="137" t="str">
        <f>IF(OR(R23="Preventivo",R23="Detectivo"),"Probabilidad",IF(R23="Correctivo","Impacto",""))</f>
        <v>Probabilidad</v>
      </c>
      <c r="R23" s="138" t="s">
        <v>14</v>
      </c>
      <c r="S23" s="138" t="s">
        <v>10</v>
      </c>
      <c r="T23" s="139" t="str">
        <f t="shared" ref="T23:T27" si="16">IF(AND(R23="Preventivo",S23="Automático"),"50%",IF(AND(R23="Preventivo",S23="Manual"),"40%",IF(AND(R23="Detectivo",S23="Automático"),"40%",IF(AND(R23="Detectivo",S23="Manual"),"30%",IF(AND(R23="Correctivo",S23="Automático"),"35%",IF(AND(R23="Correctivo",S23="Manual"),"25%",""))))))</f>
        <v>50%</v>
      </c>
      <c r="U23" s="138" t="s">
        <v>19</v>
      </c>
      <c r="V23" s="138" t="s">
        <v>22</v>
      </c>
      <c r="W23" s="138" t="s">
        <v>118</v>
      </c>
      <c r="X23" s="150">
        <f>IFERROR(IF(AND(Q22="Probabilidad",Q23="Probabilidad"),(Z22-(+Z22*T23)),IF(Q23="Probabilidad",(I22-(+I22*T23)),IF(Q23="Impacto",Z22,""))),"")</f>
        <v>0.12</v>
      </c>
      <c r="Y23" s="141" t="str">
        <f t="shared" si="1"/>
        <v>Muy Baja</v>
      </c>
      <c r="Z23" s="142">
        <f t="shared" ref="Z23:Z27" si="17">+X23</f>
        <v>0.12</v>
      </c>
      <c r="AA23" s="141" t="str">
        <f t="shared" si="3"/>
        <v>Moderado</v>
      </c>
      <c r="AB23" s="142">
        <f>IFERROR(IF(AND(Q22="Impacto",Q23="Impacto"),(AB22-(+AB22*T23)),IF(Q23="Impacto",(M22-(+M22*T23)),IF(Q23="Probabilidad",AB22,""))),"")</f>
        <v>0.6</v>
      </c>
      <c r="AC23" s="143" t="str">
        <f t="shared" ref="AC23"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44"/>
      <c r="AE23" s="145" t="s">
        <v>222</v>
      </c>
      <c r="AF23" s="145" t="s">
        <v>289</v>
      </c>
      <c r="AG23" s="145" t="s">
        <v>217</v>
      </c>
      <c r="AH23" s="146">
        <v>45292</v>
      </c>
      <c r="AI23" s="151" t="s">
        <v>236</v>
      </c>
      <c r="AJ23" s="145"/>
      <c r="AK23" s="147" t="s">
        <v>40</v>
      </c>
      <c r="AL23" s="160">
        <v>1</v>
      </c>
      <c r="AM23" s="161" t="s">
        <v>272</v>
      </c>
      <c r="AN23" s="165" t="s">
        <v>273</v>
      </c>
      <c r="AO23" s="166">
        <v>1</v>
      </c>
      <c r="AP23" s="161" t="s">
        <v>281</v>
      </c>
      <c r="AQ23" s="161" t="s">
        <v>273</v>
      </c>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170.25" customHeight="1" x14ac:dyDescent="0.3">
      <c r="A24" s="224"/>
      <c r="B24" s="215"/>
      <c r="C24" s="215"/>
      <c r="D24" s="215"/>
      <c r="E24" s="227"/>
      <c r="F24" s="215"/>
      <c r="G24" s="218"/>
      <c r="H24" s="221"/>
      <c r="I24" s="233"/>
      <c r="J24" s="236"/>
      <c r="K24" s="233">
        <f t="shared" ca="1" si="15"/>
        <v>0</v>
      </c>
      <c r="L24" s="221"/>
      <c r="M24" s="233"/>
      <c r="N24" s="230"/>
      <c r="O24" s="6">
        <v>3</v>
      </c>
      <c r="P24" s="149" t="s">
        <v>220</v>
      </c>
      <c r="Q24" s="137" t="str">
        <f>IF(OR(R24="Preventivo",R24="Detectivo"),"Probabilidad",IF(R24="Correctivo","Impacto",""))</f>
        <v>Probabilidad</v>
      </c>
      <c r="R24" s="138" t="s">
        <v>14</v>
      </c>
      <c r="S24" s="138" t="s">
        <v>10</v>
      </c>
      <c r="T24" s="139" t="str">
        <f t="shared" ref="T24" si="19">IF(AND(R24="Preventivo",S24="Automático"),"50%",IF(AND(R24="Preventivo",S24="Manual"),"40%",IF(AND(R24="Detectivo",S24="Automático"),"40%",IF(AND(R24="Detectivo",S24="Manual"),"30%",IF(AND(R24="Correctivo",S24="Automático"),"35%",IF(AND(R24="Correctivo",S24="Manual"),"25%",""))))))</f>
        <v>50%</v>
      </c>
      <c r="U24" s="138" t="s">
        <v>19</v>
      </c>
      <c r="V24" s="138" t="s">
        <v>22</v>
      </c>
      <c r="W24" s="138" t="s">
        <v>118</v>
      </c>
      <c r="X24" s="150">
        <f>IFERROR(IF(AND(Q23="Probabilidad",Q24="Probabilidad"),(Z23-(+Z23*T24)),IF(Q24="Probabilidad",(I23-(+I23*T24)),IF(Q24="Impacto",Z23,""))),"")</f>
        <v>0.06</v>
      </c>
      <c r="Y24" s="141" t="str">
        <f t="shared" ref="Y24" si="20">IFERROR(IF(X24="","",IF(X24&lt;=0.2,"Muy Baja",IF(X24&lt;=0.4,"Baja",IF(X24&lt;=0.6,"Media",IF(X24&lt;=0.8,"Alta","Muy Alta"))))),"")</f>
        <v>Muy Baja</v>
      </c>
      <c r="Z24" s="142">
        <f t="shared" ref="Z24" si="21">+X24</f>
        <v>0.06</v>
      </c>
      <c r="AA24" s="141" t="str">
        <f t="shared" ref="AA24" si="22">IFERROR(IF(AB24="","",IF(AB24&lt;=0.2,"Leve",IF(AB24&lt;=0.4,"Menor",IF(AB24&lt;=0.6,"Moderado",IF(AB24&lt;=0.8,"Mayor","Catastrófico"))))),"")</f>
        <v>Moderado</v>
      </c>
      <c r="AB24" s="142">
        <f>IFERROR(IF(AND(Q23="Impacto",Q24="Impacto"),(AB23-(+AB23*T24)),IF(Q24="Impacto",(M23-(+M23*T24)),IF(Q24="Probabilidad",AB23,""))),"")</f>
        <v>0.6</v>
      </c>
      <c r="AC24" s="143" t="str">
        <f t="shared" ref="AC24" si="23">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44"/>
      <c r="AE24" s="145" t="s">
        <v>243</v>
      </c>
      <c r="AF24" s="145" t="s">
        <v>290</v>
      </c>
      <c r="AG24" s="145" t="s">
        <v>217</v>
      </c>
      <c r="AH24" s="146">
        <v>45292</v>
      </c>
      <c r="AI24" s="151" t="s">
        <v>236</v>
      </c>
      <c r="AJ24" s="145"/>
      <c r="AK24" s="147" t="s">
        <v>40</v>
      </c>
      <c r="AL24" s="160">
        <v>1</v>
      </c>
      <c r="AM24" s="161" t="s">
        <v>275</v>
      </c>
      <c r="AN24" s="165" t="s">
        <v>276</v>
      </c>
      <c r="AO24" s="166">
        <v>1</v>
      </c>
      <c r="AP24" s="161" t="s">
        <v>283</v>
      </c>
      <c r="AQ24" s="161" t="s">
        <v>276</v>
      </c>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151.5" hidden="1" customHeight="1" x14ac:dyDescent="0.3">
      <c r="A25" s="224"/>
      <c r="B25" s="215"/>
      <c r="C25" s="215"/>
      <c r="D25" s="215"/>
      <c r="E25" s="227"/>
      <c r="F25" s="215"/>
      <c r="G25" s="218"/>
      <c r="H25" s="221"/>
      <c r="I25" s="233"/>
      <c r="J25" s="236"/>
      <c r="K25" s="233">
        <f t="shared" ca="1" si="15"/>
        <v>0</v>
      </c>
      <c r="L25" s="221"/>
      <c r="M25" s="233"/>
      <c r="N25" s="230"/>
      <c r="O25" s="6">
        <v>4</v>
      </c>
      <c r="P25" s="136"/>
      <c r="Q25" s="124" t="str">
        <f t="shared" ref="Q25:Q27" si="24">IF(OR(R25="Preventivo",R25="Detectivo"),"Probabilidad",IF(R25="Correctivo","Impacto",""))</f>
        <v/>
      </c>
      <c r="R25" s="125"/>
      <c r="S25" s="125"/>
      <c r="T25" s="126" t="str">
        <f t="shared" si="16"/>
        <v/>
      </c>
      <c r="U25" s="125"/>
      <c r="V25" s="125"/>
      <c r="W25" s="125"/>
      <c r="X25" s="127" t="str">
        <f t="shared" ref="X25:X27" si="25">IFERROR(IF(AND(Q24="Probabilidad",Q25="Probabilidad"),(Z24-(+Z24*T25)),IF(AND(Q24="Impacto",Q25="Probabilidad"),(Z23-(+Z23*T25)),IF(Q25="Impacto",Z24,""))),"")</f>
        <v/>
      </c>
      <c r="Y25" s="128" t="str">
        <f t="shared" si="1"/>
        <v/>
      </c>
      <c r="Z25" s="129" t="str">
        <f t="shared" si="17"/>
        <v/>
      </c>
      <c r="AA25" s="128" t="str">
        <f t="shared" si="3"/>
        <v/>
      </c>
      <c r="AB25" s="129" t="str">
        <f t="shared" ref="AB25:AB27" si="26">IFERROR(IF(AND(Q24="Impacto",Q25="Impacto"),(AB24-(+AB24*T25)),IF(AND(Q24="Probabilidad",Q25="Impacto"),(AB23-(+AB23*T25)),IF(Q25="Probabilidad",AB24,""))),"")</f>
        <v/>
      </c>
      <c r="AC25" s="130"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44"/>
      <c r="AE25" s="131"/>
      <c r="AF25" s="145" t="s">
        <v>223</v>
      </c>
      <c r="AG25" s="131" t="s">
        <v>212</v>
      </c>
      <c r="AH25" s="133">
        <v>44927</v>
      </c>
      <c r="AI25" s="133"/>
      <c r="AJ25" s="145"/>
      <c r="AK25" s="147"/>
      <c r="AL25" s="160"/>
      <c r="AM25" s="161"/>
      <c r="AN25" s="165"/>
      <c r="AO25" s="166"/>
      <c r="AP25" s="161"/>
      <c r="AQ25" s="161"/>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151.5" hidden="1" customHeight="1" x14ac:dyDescent="0.3">
      <c r="A26" s="224"/>
      <c r="B26" s="215"/>
      <c r="C26" s="215"/>
      <c r="D26" s="215"/>
      <c r="E26" s="227"/>
      <c r="F26" s="215"/>
      <c r="G26" s="218"/>
      <c r="H26" s="221"/>
      <c r="I26" s="233"/>
      <c r="J26" s="236"/>
      <c r="K26" s="233">
        <f t="shared" ca="1" si="15"/>
        <v>0</v>
      </c>
      <c r="L26" s="221"/>
      <c r="M26" s="233"/>
      <c r="N26" s="230"/>
      <c r="O26" s="6">
        <v>5</v>
      </c>
      <c r="P26" s="136"/>
      <c r="Q26" s="124" t="str">
        <f t="shared" si="24"/>
        <v/>
      </c>
      <c r="R26" s="125"/>
      <c r="S26" s="125"/>
      <c r="T26" s="126" t="str">
        <f t="shared" si="16"/>
        <v/>
      </c>
      <c r="U26" s="125"/>
      <c r="V26" s="125"/>
      <c r="W26" s="125"/>
      <c r="X26" s="127" t="str">
        <f t="shared" si="25"/>
        <v/>
      </c>
      <c r="Y26" s="128" t="str">
        <f t="shared" si="1"/>
        <v/>
      </c>
      <c r="Z26" s="129" t="str">
        <f t="shared" si="17"/>
        <v/>
      </c>
      <c r="AA26" s="128" t="str">
        <f t="shared" si="3"/>
        <v/>
      </c>
      <c r="AB26" s="129" t="str">
        <f t="shared" si="26"/>
        <v/>
      </c>
      <c r="AC26" s="130" t="str">
        <f t="shared" ref="AC26:AC27" si="2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44"/>
      <c r="AE26" s="131"/>
      <c r="AF26" s="145" t="s">
        <v>223</v>
      </c>
      <c r="AG26" s="131" t="s">
        <v>212</v>
      </c>
      <c r="AH26" s="133">
        <v>44927</v>
      </c>
      <c r="AI26" s="133"/>
      <c r="AJ26" s="145"/>
      <c r="AK26" s="147"/>
      <c r="AL26" s="160"/>
      <c r="AM26" s="161"/>
      <c r="AN26" s="165"/>
      <c r="AO26" s="166"/>
      <c r="AP26" s="161"/>
      <c r="AQ26" s="161"/>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6.75" hidden="1" customHeight="1" x14ac:dyDescent="0.3">
      <c r="A27" s="225"/>
      <c r="B27" s="216"/>
      <c r="C27" s="216"/>
      <c r="D27" s="216"/>
      <c r="E27" s="228"/>
      <c r="F27" s="216"/>
      <c r="G27" s="219"/>
      <c r="H27" s="222"/>
      <c r="I27" s="234"/>
      <c r="J27" s="237"/>
      <c r="K27" s="234">
        <f t="shared" ca="1" si="15"/>
        <v>0</v>
      </c>
      <c r="L27" s="222"/>
      <c r="M27" s="234"/>
      <c r="N27" s="231"/>
      <c r="O27" s="6">
        <v>6</v>
      </c>
      <c r="P27" s="136"/>
      <c r="Q27" s="124" t="str">
        <f t="shared" si="24"/>
        <v/>
      </c>
      <c r="R27" s="125"/>
      <c r="S27" s="125"/>
      <c r="T27" s="126" t="str">
        <f t="shared" si="16"/>
        <v/>
      </c>
      <c r="U27" s="125"/>
      <c r="V27" s="125"/>
      <c r="W27" s="125"/>
      <c r="X27" s="127" t="str">
        <f t="shared" si="25"/>
        <v/>
      </c>
      <c r="Y27" s="128" t="str">
        <f t="shared" si="1"/>
        <v/>
      </c>
      <c r="Z27" s="129" t="str">
        <f t="shared" si="17"/>
        <v/>
      </c>
      <c r="AA27" s="128" t="str">
        <f t="shared" si="3"/>
        <v/>
      </c>
      <c r="AB27" s="129" t="str">
        <f t="shared" si="26"/>
        <v/>
      </c>
      <c r="AC27" s="130" t="str">
        <f t="shared" si="27"/>
        <v/>
      </c>
      <c r="AD27" s="144"/>
      <c r="AE27" s="131"/>
      <c r="AF27" s="145" t="s">
        <v>223</v>
      </c>
      <c r="AG27" s="131" t="s">
        <v>212</v>
      </c>
      <c r="AH27" s="133">
        <v>44927</v>
      </c>
      <c r="AI27" s="133"/>
      <c r="AJ27" s="145"/>
      <c r="AK27" s="147"/>
      <c r="AL27" s="160"/>
      <c r="AM27" s="161"/>
      <c r="AN27" s="165"/>
      <c r="AO27" s="166"/>
      <c r="AP27" s="161"/>
      <c r="AQ27" s="161"/>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220.5" customHeight="1" x14ac:dyDescent="0.3">
      <c r="A28" s="223">
        <v>4</v>
      </c>
      <c r="B28" s="214" t="s">
        <v>133</v>
      </c>
      <c r="C28" s="214" t="s">
        <v>238</v>
      </c>
      <c r="D28" s="214" t="s">
        <v>233</v>
      </c>
      <c r="E28" s="226" t="s">
        <v>229</v>
      </c>
      <c r="F28" s="214" t="s">
        <v>122</v>
      </c>
      <c r="G28" s="217">
        <v>1398</v>
      </c>
      <c r="H28" s="220" t="str">
        <f>IF(G28&lt;=0,"",IF(G28&lt;=2,"Muy Baja",IF(G28&lt;=24,"Baja",IF(G28&lt;=500,"Media",IF(G28&lt;=5000,"Alta","Muy Alta")))))</f>
        <v>Alta</v>
      </c>
      <c r="I28" s="232">
        <f>IF(H28="","",IF(H28="Muy Baja",0.2,IF(H28="Baja",0.4,IF(H28="Media",0.6,IF(H28="Alta",0.8,IF(H28="Muy Alta",1,))))))</f>
        <v>0.8</v>
      </c>
      <c r="J28" s="235" t="s">
        <v>155</v>
      </c>
      <c r="K28" s="232" t="str">
        <f>IF(NOT(ISERROR(MATCH(J28,'Tabla Impacto'!$B$221:$B$223,0))),'Tabla Impacto'!$F$223&amp;"Por favor no seleccionar los criterios de impacto(Afectación Económica o presupuestal y Pérdida Reputacional)",J28)</f>
        <v xml:space="preserve">     El riesgo afecta la imagen de la entidad a nivel nacional, con efecto publicitarios sostenible a nivel país</v>
      </c>
      <c r="L28" s="220" t="str">
        <f>IF(OR(K28='Tabla Impacto'!$C$11,K28='Tabla Impacto'!$D$11),"Leve",IF(OR(K28='Tabla Impacto'!$C$12,K28='Tabla Impacto'!$D$12),"Menor",IF(OR(K28='Tabla Impacto'!$C$13,K28='Tabla Impacto'!$D$13),"Moderado",IF(OR(K28='Tabla Impacto'!$C$14,K28='Tabla Impacto'!$D$14),"Mayor",IF(OR(K28='Tabla Impacto'!$C$15,K28='Tabla Impacto'!$D$15),"Catastrófico","")))))</f>
        <v>Catastrófico</v>
      </c>
      <c r="M28" s="232">
        <f>IF(L28="","",IF(L28="Leve",0.2,IF(L28="Menor",0.4,IF(L28="Moderado",0.6,IF(L28="Mayor",0.8,IF(L28="Catastrófico",1,))))))</f>
        <v>1</v>
      </c>
      <c r="N28" s="229"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Extremo</v>
      </c>
      <c r="O28" s="6">
        <v>1</v>
      </c>
      <c r="P28" s="159" t="s">
        <v>234</v>
      </c>
      <c r="Q28" s="137" t="str">
        <f>IF(OR(R28="Preventivo",R28="Detectivo"),"Probabilidad",IF(R28="Correctivo","Impacto",""))</f>
        <v>Probabilidad</v>
      </c>
      <c r="R28" s="138" t="s">
        <v>14</v>
      </c>
      <c r="S28" s="138" t="s">
        <v>10</v>
      </c>
      <c r="T28" s="139" t="str">
        <f>IF(AND(R28="Preventivo",S28="Automático"),"50%",IF(AND(R28="Preventivo",S28="Manual"),"40%",IF(AND(R28="Detectivo",S28="Automático"),"40%",IF(AND(R28="Detectivo",S28="Manual"),"30%",IF(AND(R28="Correctivo",S28="Automático"),"35%",IF(AND(R28="Correctivo",S28="Manual"),"25%",""))))))</f>
        <v>50%</v>
      </c>
      <c r="U28" s="138" t="s">
        <v>19</v>
      </c>
      <c r="V28" s="138" t="s">
        <v>22</v>
      </c>
      <c r="W28" s="138" t="s">
        <v>118</v>
      </c>
      <c r="X28" s="140">
        <f>IFERROR(IF(Q28="Probabilidad",(I28-(+I28*T28)),IF(Q28="Impacto",I28,"")),"")</f>
        <v>0.4</v>
      </c>
      <c r="Y28" s="141" t="str">
        <f>IFERROR(IF(X28="","",IF(X28&lt;=0.2,"Muy Baja",IF(X28&lt;=0.4,"Baja",IF(X28&lt;=0.6,"Media",IF(X28&lt;=0.8,"Alta","Muy Alta"))))),"")</f>
        <v>Baja</v>
      </c>
      <c r="Z28" s="142">
        <f>+X28</f>
        <v>0.4</v>
      </c>
      <c r="AA28" s="141" t="str">
        <f>IFERROR(IF(AB28="","",IF(AB28&lt;=0.2,"Leve",IF(AB28&lt;=0.4,"Menor",IF(AB28&lt;=0.6,"Moderado",IF(AB28&lt;=0.8,"Mayor","Catastrófico"))))),"")</f>
        <v>Catastrófico</v>
      </c>
      <c r="AB28" s="142">
        <f>IFERROR(IF(Q28="Impacto",(M28-(+M28*T28)),IF(Q28="Probabilidad",M28,"")),"")</f>
        <v>1</v>
      </c>
      <c r="AC28" s="14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Extremo</v>
      </c>
      <c r="AD28" s="144"/>
      <c r="AE28" s="145" t="s">
        <v>240</v>
      </c>
      <c r="AF28" s="145" t="s">
        <v>291</v>
      </c>
      <c r="AG28" s="145" t="s">
        <v>217</v>
      </c>
      <c r="AH28" s="146">
        <v>45292</v>
      </c>
      <c r="AI28" s="151" t="s">
        <v>254</v>
      </c>
      <c r="AJ28" s="145"/>
      <c r="AK28" s="147" t="s">
        <v>40</v>
      </c>
      <c r="AL28" s="160">
        <v>1</v>
      </c>
      <c r="AM28" s="161" t="s">
        <v>277</v>
      </c>
      <c r="AN28" s="209" t="s">
        <v>278</v>
      </c>
      <c r="AO28" s="166">
        <v>1</v>
      </c>
      <c r="AP28" s="161" t="s">
        <v>284</v>
      </c>
      <c r="AQ28" s="160" t="s">
        <v>285</v>
      </c>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291.75" customHeight="1" x14ac:dyDescent="0.3">
      <c r="A29" s="224"/>
      <c r="B29" s="215"/>
      <c r="C29" s="215"/>
      <c r="D29" s="215"/>
      <c r="E29" s="227"/>
      <c r="F29" s="215"/>
      <c r="G29" s="218"/>
      <c r="H29" s="221"/>
      <c r="I29" s="233"/>
      <c r="J29" s="236"/>
      <c r="K29" s="233">
        <f t="shared" ref="K29:K33" ca="1" si="28">IF(NOT(ISERROR(MATCH(J29,_xlfn.ANCHORARRAY(E40),0))),I42&amp;"Por favor no seleccionar los criterios de impacto",J29)</f>
        <v>0</v>
      </c>
      <c r="L29" s="221"/>
      <c r="M29" s="233"/>
      <c r="N29" s="230"/>
      <c r="O29" s="6">
        <v>2</v>
      </c>
      <c r="P29" s="149" t="s">
        <v>239</v>
      </c>
      <c r="Q29" s="137" t="str">
        <f>IF(OR(R29="Preventivo",R29="Detectivo"),"Probabilidad",IF(R29="Correctivo","Impacto",""))</f>
        <v>Probabilidad</v>
      </c>
      <c r="R29" s="138" t="s">
        <v>14</v>
      </c>
      <c r="S29" s="138" t="s">
        <v>10</v>
      </c>
      <c r="T29" s="139" t="str">
        <f t="shared" ref="T29:T33" si="29">IF(AND(R29="Preventivo",S29="Automático"),"50%",IF(AND(R29="Preventivo",S29="Manual"),"40%",IF(AND(R29="Detectivo",S29="Automático"),"40%",IF(AND(R29="Detectivo",S29="Manual"),"30%",IF(AND(R29="Correctivo",S29="Automático"),"35%",IF(AND(R29="Correctivo",S29="Manual"),"25%",""))))))</f>
        <v>50%</v>
      </c>
      <c r="U29" s="138" t="s">
        <v>19</v>
      </c>
      <c r="V29" s="138" t="s">
        <v>22</v>
      </c>
      <c r="W29" s="138" t="s">
        <v>118</v>
      </c>
      <c r="X29" s="140">
        <f>IFERROR(IF(AND(Q28="Probabilidad",Q29="Probabilidad"),(Z28-(+Z28*T29)),IF(Q29="Probabilidad",(I28-(+I28*T29)),IF(Q29="Impacto",Z28,""))),"")</f>
        <v>0.2</v>
      </c>
      <c r="Y29" s="141" t="str">
        <f t="shared" si="1"/>
        <v>Muy Baja</v>
      </c>
      <c r="Z29" s="142">
        <f t="shared" ref="Z29:Z33" si="30">+X29</f>
        <v>0.2</v>
      </c>
      <c r="AA29" s="141" t="str">
        <f t="shared" si="3"/>
        <v>Catastrófico</v>
      </c>
      <c r="AB29" s="142">
        <f>IFERROR(IF(AND(Q28="Impacto",Q29="Impacto"),(AB28-(+AB28*T29)),IF(Q29="Impacto",(M28-(+M28*T29)),IF(Q29="Probabilidad",AB28,""))),"")</f>
        <v>1</v>
      </c>
      <c r="AC29" s="143" t="str">
        <f t="shared" ref="AC29:AC30" si="3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Extremo</v>
      </c>
      <c r="AD29" s="144"/>
      <c r="AE29" s="145" t="s">
        <v>241</v>
      </c>
      <c r="AF29" s="145" t="s">
        <v>292</v>
      </c>
      <c r="AG29" s="145" t="s">
        <v>217</v>
      </c>
      <c r="AH29" s="146">
        <v>45292</v>
      </c>
      <c r="AI29" s="151" t="s">
        <v>254</v>
      </c>
      <c r="AJ29" s="145"/>
      <c r="AK29" s="147" t="s">
        <v>40</v>
      </c>
      <c r="AL29" s="160">
        <v>0</v>
      </c>
      <c r="AM29" s="162" t="s">
        <v>264</v>
      </c>
      <c r="AN29" s="210"/>
      <c r="AO29" s="166">
        <v>0</v>
      </c>
      <c r="AP29" s="162" t="s">
        <v>286</v>
      </c>
      <c r="AQ29" s="161" t="s">
        <v>287</v>
      </c>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303.75" customHeight="1" x14ac:dyDescent="0.3">
      <c r="A30" s="224"/>
      <c r="B30" s="215"/>
      <c r="C30" s="215"/>
      <c r="D30" s="215"/>
      <c r="E30" s="227"/>
      <c r="F30" s="215"/>
      <c r="G30" s="218"/>
      <c r="H30" s="221"/>
      <c r="I30" s="233"/>
      <c r="J30" s="236"/>
      <c r="K30" s="233">
        <f t="shared" ca="1" si="28"/>
        <v>0</v>
      </c>
      <c r="L30" s="221"/>
      <c r="M30" s="233"/>
      <c r="N30" s="230"/>
      <c r="O30" s="6">
        <v>3</v>
      </c>
      <c r="P30" s="159" t="s">
        <v>235</v>
      </c>
      <c r="Q30" s="137" t="str">
        <f>IF(OR(R30="Preventivo",R30="Detectivo"),"Probabilidad",IF(R30="Correctivo","Impacto",""))</f>
        <v>Probabilidad</v>
      </c>
      <c r="R30" s="138" t="s">
        <v>14</v>
      </c>
      <c r="S30" s="138" t="s">
        <v>10</v>
      </c>
      <c r="T30" s="139" t="str">
        <f t="shared" si="29"/>
        <v>50%</v>
      </c>
      <c r="U30" s="138" t="s">
        <v>19</v>
      </c>
      <c r="V30" s="138" t="s">
        <v>22</v>
      </c>
      <c r="W30" s="138" t="s">
        <v>118</v>
      </c>
      <c r="X30" s="140">
        <f>IFERROR(IF(AND(Q29="Probabilidad",Q30="Probabilidad"),(Z29-(+Z29*T30)),IF(AND(Q29="Impacto",Q30="Probabilidad"),(Z28-(+Z28*T30)),IF(Q30="Impacto",Z29,""))),"")</f>
        <v>0.1</v>
      </c>
      <c r="Y30" s="141" t="str">
        <f t="shared" si="1"/>
        <v>Muy Baja</v>
      </c>
      <c r="Z30" s="142">
        <f t="shared" si="30"/>
        <v>0.1</v>
      </c>
      <c r="AA30" s="141" t="str">
        <f t="shared" si="3"/>
        <v>Catastrófico</v>
      </c>
      <c r="AB30" s="142">
        <f>IFERROR(IF(AND(Q29="Impacto",Q30="Impacto"),(AB29-(+AB29*T30)),IF(AND(Q29="Probabilidad",Q30="Impacto"),(AB28-(+AB28*T30)),IF(Q30="Probabilidad",AB29,""))),"")</f>
        <v>1</v>
      </c>
      <c r="AC30" s="143" t="str">
        <f t="shared" si="31"/>
        <v>Extremo</v>
      </c>
      <c r="AD30" s="144"/>
      <c r="AE30" s="145" t="s">
        <v>242</v>
      </c>
      <c r="AF30" s="145" t="s">
        <v>293</v>
      </c>
      <c r="AG30" s="145" t="s">
        <v>217</v>
      </c>
      <c r="AH30" s="146">
        <v>45292</v>
      </c>
      <c r="AI30" s="151">
        <v>45656</v>
      </c>
      <c r="AJ30" s="145"/>
      <c r="AK30" s="147" t="s">
        <v>40</v>
      </c>
      <c r="AL30" s="160" t="s">
        <v>262</v>
      </c>
      <c r="AM30" s="160" t="s">
        <v>262</v>
      </c>
      <c r="AN30" s="165" t="s">
        <v>263</v>
      </c>
      <c r="AO30" s="166" t="s">
        <v>262</v>
      </c>
      <c r="AP30" s="160" t="s">
        <v>262</v>
      </c>
      <c r="AQ30" s="161" t="s">
        <v>294</v>
      </c>
      <c r="AR30" s="7"/>
      <c r="AS30" s="167"/>
      <c r="AT30" s="7"/>
      <c r="AU30" s="7"/>
      <c r="AV30" s="7"/>
      <c r="AW30" s="7"/>
      <c r="AX30" s="7"/>
      <c r="AY30" s="7"/>
      <c r="AZ30" s="7"/>
      <c r="BA30" s="7"/>
      <c r="BB30" s="7"/>
      <c r="BC30" s="7"/>
      <c r="BD30" s="7"/>
      <c r="BE30" s="7"/>
      <c r="BF30" s="7"/>
      <c r="BG30" s="7"/>
      <c r="BH30" s="7"/>
      <c r="BI30" s="7"/>
      <c r="BJ30" s="7"/>
      <c r="BK30" s="7"/>
      <c r="BL30" s="7"/>
      <c r="BM30" s="7"/>
      <c r="BN30" s="7"/>
      <c r="BO30" s="7"/>
      <c r="BP30" s="7"/>
    </row>
    <row r="31" spans="1:68" ht="151.5" hidden="1" customHeight="1" x14ac:dyDescent="0.3">
      <c r="A31" s="224"/>
      <c r="B31" s="215"/>
      <c r="C31" s="215"/>
      <c r="D31" s="215"/>
      <c r="E31" s="227"/>
      <c r="F31" s="215"/>
      <c r="G31" s="218"/>
      <c r="H31" s="221"/>
      <c r="I31" s="233"/>
      <c r="J31" s="236"/>
      <c r="K31" s="233">
        <f t="shared" ca="1" si="28"/>
        <v>0</v>
      </c>
      <c r="L31" s="221"/>
      <c r="M31" s="233"/>
      <c r="N31" s="230"/>
      <c r="O31" s="6">
        <v>4</v>
      </c>
      <c r="Q31" s="137"/>
      <c r="R31" s="138"/>
      <c r="S31" s="138"/>
      <c r="T31" s="139"/>
      <c r="U31" s="138"/>
      <c r="V31" s="138"/>
      <c r="W31" s="138"/>
      <c r="X31" s="140"/>
      <c r="Y31" s="141"/>
      <c r="Z31" s="142"/>
      <c r="AA31" s="141"/>
      <c r="AB31" s="142"/>
      <c r="AC31" s="143"/>
      <c r="AD31" s="144"/>
      <c r="AF31" s="145" t="s">
        <v>293</v>
      </c>
      <c r="AG31" s="145"/>
      <c r="AH31" s="146"/>
      <c r="AI31" s="151"/>
      <c r="AJ31" s="145"/>
      <c r="AK31" s="14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151.5" hidden="1" customHeight="1" x14ac:dyDescent="0.3">
      <c r="A32" s="224"/>
      <c r="B32" s="215"/>
      <c r="C32" s="215"/>
      <c r="D32" s="215"/>
      <c r="E32" s="227"/>
      <c r="F32" s="215"/>
      <c r="G32" s="218"/>
      <c r="H32" s="221"/>
      <c r="I32" s="233"/>
      <c r="J32" s="236"/>
      <c r="K32" s="233">
        <f t="shared" ca="1" si="28"/>
        <v>0</v>
      </c>
      <c r="L32" s="221"/>
      <c r="M32" s="233"/>
      <c r="N32" s="230"/>
      <c r="O32" s="6">
        <v>5</v>
      </c>
      <c r="P32" s="123"/>
      <c r="Q32" s="124" t="str">
        <f t="shared" ref="Q32:Q33" si="32">IF(OR(R32="Preventivo",R32="Detectivo"),"Probabilidad",IF(R32="Correctivo","Impacto",""))</f>
        <v/>
      </c>
      <c r="R32" s="125"/>
      <c r="S32" s="125"/>
      <c r="T32" s="126" t="str">
        <f t="shared" si="29"/>
        <v/>
      </c>
      <c r="U32" s="125"/>
      <c r="V32" s="125"/>
      <c r="W32" s="125"/>
      <c r="X32" s="135" t="str">
        <f t="shared" ref="X32:X33" si="33">IFERROR(IF(AND(Q31="Probabilidad",Q32="Probabilidad"),(Z31-(+Z31*T32)),IF(AND(Q31="Impacto",Q32="Probabilidad"),(Z30-(+Z30*T32)),IF(Q32="Impacto",Z31,""))),"")</f>
        <v/>
      </c>
      <c r="Y32" s="128" t="str">
        <f>IFERROR(IF(X32="","",IF(X32&lt;=0.2,"Muy Baja",IF(X32&lt;=0.4,"Baja",IF(X32&lt;=0.6,"Media",IF(X32&lt;=0.8,"Alta","Muy Alta"))))),"")</f>
        <v/>
      </c>
      <c r="Z32" s="129" t="str">
        <f t="shared" si="30"/>
        <v/>
      </c>
      <c r="AA32" s="128" t="str">
        <f t="shared" si="3"/>
        <v/>
      </c>
      <c r="AB32" s="129" t="str">
        <f t="shared" ref="AB32:AB33" si="34">IFERROR(IF(AND(Q31="Impacto",Q32="Impacto"),(AB31-(+AB31*T32)),IF(AND(Q31="Probabilidad",Q32="Impacto"),(AB30-(+AB30*T32)),IF(Q32="Probabilidad",AB31,""))),"")</f>
        <v/>
      </c>
      <c r="AC32" s="130" t="str">
        <f t="shared" ref="AC32:AC33" si="35">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44"/>
      <c r="AE32" s="131"/>
      <c r="AF32" s="145"/>
      <c r="AG32" s="132"/>
      <c r="AH32" s="133"/>
      <c r="AI32" s="133"/>
      <c r="AJ32" s="145"/>
      <c r="AK32" s="14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151.5" hidden="1" customHeight="1" x14ac:dyDescent="0.3">
      <c r="A33" s="225"/>
      <c r="B33" s="216"/>
      <c r="C33" s="216"/>
      <c r="D33" s="216"/>
      <c r="E33" s="228"/>
      <c r="F33" s="216"/>
      <c r="G33" s="219"/>
      <c r="H33" s="222"/>
      <c r="I33" s="234"/>
      <c r="J33" s="237"/>
      <c r="K33" s="234">
        <f t="shared" ca="1" si="28"/>
        <v>0</v>
      </c>
      <c r="L33" s="222"/>
      <c r="M33" s="234"/>
      <c r="N33" s="231"/>
      <c r="O33" s="6">
        <v>6</v>
      </c>
      <c r="P33" s="123"/>
      <c r="Q33" s="124" t="str">
        <f t="shared" si="32"/>
        <v/>
      </c>
      <c r="R33" s="125"/>
      <c r="S33" s="125"/>
      <c r="T33" s="126" t="str">
        <f t="shared" si="29"/>
        <v/>
      </c>
      <c r="U33" s="125"/>
      <c r="V33" s="125"/>
      <c r="W33" s="125"/>
      <c r="X33" s="127" t="str">
        <f t="shared" si="33"/>
        <v/>
      </c>
      <c r="Y33" s="128" t="str">
        <f t="shared" si="1"/>
        <v/>
      </c>
      <c r="Z33" s="129" t="str">
        <f t="shared" si="30"/>
        <v/>
      </c>
      <c r="AA33" s="128" t="str">
        <f t="shared" si="3"/>
        <v/>
      </c>
      <c r="AB33" s="129" t="str">
        <f t="shared" si="34"/>
        <v/>
      </c>
      <c r="AC33" s="130" t="str">
        <f t="shared" si="35"/>
        <v/>
      </c>
      <c r="AD33" s="144"/>
      <c r="AE33" s="131"/>
      <c r="AF33" s="145"/>
      <c r="AG33" s="132"/>
      <c r="AH33" s="133"/>
      <c r="AI33" s="133"/>
      <c r="AJ33" s="145"/>
      <c r="AK33" s="14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151.5" hidden="1" customHeight="1" x14ac:dyDescent="0.3">
      <c r="A34" s="223">
        <v>5</v>
      </c>
      <c r="B34" s="214"/>
      <c r="C34" s="214"/>
      <c r="D34" s="214"/>
      <c r="E34" s="226"/>
      <c r="F34" s="214"/>
      <c r="G34" s="217"/>
      <c r="H34" s="220"/>
      <c r="I34" s="232"/>
      <c r="J34" s="235"/>
      <c r="K34" s="232"/>
      <c r="L34" s="220"/>
      <c r="M34" s="232"/>
      <c r="N34" s="229"/>
      <c r="O34" s="6"/>
      <c r="P34" s="211"/>
      <c r="Q34" s="137"/>
      <c r="R34" s="138"/>
      <c r="S34" s="138"/>
      <c r="T34" s="139"/>
      <c r="U34" s="138"/>
      <c r="V34" s="138"/>
      <c r="W34" s="138"/>
      <c r="X34" s="140"/>
      <c r="Y34" s="141"/>
      <c r="Z34" s="142"/>
      <c r="AA34" s="141"/>
      <c r="AB34" s="142"/>
      <c r="AC34" s="143"/>
      <c r="AD34" s="144"/>
      <c r="AE34" s="145"/>
      <c r="AF34" s="145"/>
      <c r="AG34" s="145"/>
      <c r="AH34" s="146"/>
      <c r="AI34" s="151"/>
      <c r="AJ34" s="145"/>
      <c r="AK34" s="14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151.5" hidden="1" customHeight="1" x14ac:dyDescent="0.3">
      <c r="A35" s="224"/>
      <c r="B35" s="215"/>
      <c r="C35" s="215"/>
      <c r="D35" s="215"/>
      <c r="E35" s="227"/>
      <c r="F35" s="215"/>
      <c r="G35" s="218"/>
      <c r="H35" s="221"/>
      <c r="I35" s="233"/>
      <c r="J35" s="236"/>
      <c r="K35" s="233"/>
      <c r="L35" s="221"/>
      <c r="M35" s="233"/>
      <c r="N35" s="230"/>
      <c r="O35" s="6"/>
      <c r="P35" s="212"/>
      <c r="Q35" s="137"/>
      <c r="R35" s="138"/>
      <c r="S35" s="138"/>
      <c r="T35" s="139"/>
      <c r="U35" s="138"/>
      <c r="V35" s="138"/>
      <c r="W35" s="138"/>
      <c r="X35" s="140"/>
      <c r="Y35" s="141"/>
      <c r="Z35" s="142"/>
      <c r="AA35" s="141"/>
      <c r="AB35" s="142"/>
      <c r="AC35" s="143"/>
      <c r="AD35" s="144"/>
      <c r="AE35" s="145"/>
      <c r="AF35" s="145"/>
      <c r="AG35" s="145"/>
      <c r="AH35" s="146"/>
      <c r="AI35" s="151"/>
      <c r="AJ35" s="145"/>
      <c r="AK35" s="14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151.5" hidden="1" customHeight="1" x14ac:dyDescent="0.3">
      <c r="A36" s="224"/>
      <c r="B36" s="215"/>
      <c r="C36" s="215"/>
      <c r="D36" s="215"/>
      <c r="E36" s="227"/>
      <c r="F36" s="215"/>
      <c r="G36" s="218"/>
      <c r="H36" s="221"/>
      <c r="I36" s="233"/>
      <c r="J36" s="236"/>
      <c r="K36" s="233"/>
      <c r="L36" s="221"/>
      <c r="M36" s="233"/>
      <c r="N36" s="230"/>
      <c r="O36" s="6"/>
      <c r="P36" s="212"/>
      <c r="Q36" s="137"/>
      <c r="R36" s="138"/>
      <c r="S36" s="138"/>
      <c r="T36" s="139"/>
      <c r="U36" s="138"/>
      <c r="V36" s="138"/>
      <c r="W36" s="138"/>
      <c r="X36" s="140"/>
      <c r="Y36" s="141"/>
      <c r="Z36" s="142"/>
      <c r="AA36" s="141"/>
      <c r="AB36" s="142"/>
      <c r="AC36" s="143"/>
      <c r="AD36" s="144"/>
      <c r="AE36" s="145"/>
      <c r="AF36" s="145"/>
      <c r="AG36" s="145"/>
      <c r="AH36" s="146"/>
      <c r="AI36" s="151"/>
      <c r="AJ36" s="145"/>
      <c r="AK36" s="14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151.5" hidden="1" customHeight="1" x14ac:dyDescent="0.3">
      <c r="A37" s="224"/>
      <c r="B37" s="215"/>
      <c r="C37" s="215"/>
      <c r="D37" s="215"/>
      <c r="E37" s="227"/>
      <c r="F37" s="215"/>
      <c r="G37" s="218"/>
      <c r="H37" s="221"/>
      <c r="I37" s="233"/>
      <c r="J37" s="236"/>
      <c r="K37" s="233"/>
      <c r="L37" s="221"/>
      <c r="M37" s="233"/>
      <c r="N37" s="230"/>
      <c r="O37" s="6"/>
      <c r="P37" s="213"/>
      <c r="Q37" s="137"/>
      <c r="R37" s="138"/>
      <c r="S37" s="138"/>
      <c r="T37" s="139"/>
      <c r="U37" s="138"/>
      <c r="V37" s="138"/>
      <c r="W37" s="138"/>
      <c r="X37" s="140"/>
      <c r="Y37" s="141"/>
      <c r="Z37" s="142"/>
      <c r="AA37" s="141"/>
      <c r="AB37" s="142"/>
      <c r="AC37" s="143"/>
      <c r="AD37" s="144"/>
      <c r="AE37" s="145"/>
      <c r="AF37" s="145"/>
      <c r="AG37" s="145"/>
      <c r="AH37" s="146"/>
      <c r="AI37" s="151"/>
      <c r="AJ37" s="145"/>
      <c r="AK37" s="14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151.5" hidden="1" customHeight="1" x14ac:dyDescent="0.3">
      <c r="A38" s="224"/>
      <c r="B38" s="215"/>
      <c r="C38" s="215"/>
      <c r="D38" s="215"/>
      <c r="E38" s="227"/>
      <c r="F38" s="215"/>
      <c r="G38" s="218"/>
      <c r="H38" s="221"/>
      <c r="I38" s="233"/>
      <c r="J38" s="236"/>
      <c r="K38" s="233"/>
      <c r="L38" s="221"/>
      <c r="M38" s="233"/>
      <c r="N38" s="230"/>
      <c r="O38" s="6"/>
      <c r="P38" s="123"/>
      <c r="Q38" s="124"/>
      <c r="R38" s="125"/>
      <c r="S38" s="125"/>
      <c r="T38" s="126"/>
      <c r="U38" s="125"/>
      <c r="V38" s="125"/>
      <c r="W38" s="125"/>
      <c r="X38" s="127"/>
      <c r="Y38" s="128"/>
      <c r="Z38" s="129"/>
      <c r="AA38" s="128"/>
      <c r="AB38" s="129"/>
      <c r="AC38" s="130"/>
      <c r="AD38" s="144"/>
      <c r="AE38" s="131"/>
      <c r="AF38" s="131"/>
      <c r="AG38" s="132"/>
      <c r="AH38" s="133"/>
      <c r="AI38" s="133"/>
      <c r="AJ38" s="145"/>
      <c r="AK38" s="14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151.5" hidden="1" customHeight="1" x14ac:dyDescent="0.3">
      <c r="A39" s="225"/>
      <c r="B39" s="216"/>
      <c r="C39" s="216"/>
      <c r="D39" s="216"/>
      <c r="E39" s="228"/>
      <c r="F39" s="216"/>
      <c r="G39" s="219"/>
      <c r="H39" s="222"/>
      <c r="I39" s="234"/>
      <c r="J39" s="237"/>
      <c r="K39" s="234"/>
      <c r="L39" s="222"/>
      <c r="M39" s="234"/>
      <c r="N39" s="231"/>
      <c r="O39" s="6"/>
      <c r="P39" s="123"/>
      <c r="Q39" s="124"/>
      <c r="R39" s="125"/>
      <c r="S39" s="125"/>
      <c r="T39" s="126"/>
      <c r="U39" s="125"/>
      <c r="V39" s="125"/>
      <c r="W39" s="125"/>
      <c r="X39" s="127"/>
      <c r="Y39" s="128"/>
      <c r="Z39" s="129"/>
      <c r="AA39" s="128"/>
      <c r="AB39" s="129"/>
      <c r="AC39" s="130"/>
      <c r="AD39" s="144"/>
      <c r="AE39" s="131"/>
      <c r="AF39" s="131"/>
      <c r="AG39" s="132"/>
      <c r="AH39" s="133"/>
      <c r="AI39" s="133"/>
      <c r="AJ39" s="145"/>
      <c r="AK39" s="14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151.5" hidden="1" customHeight="1" x14ac:dyDescent="0.3">
      <c r="A40" s="223">
        <v>6</v>
      </c>
      <c r="B40" s="214"/>
      <c r="C40" s="214"/>
      <c r="D40" s="214"/>
      <c r="E40" s="226"/>
      <c r="F40" s="214"/>
      <c r="G40" s="217"/>
      <c r="H40" s="220"/>
      <c r="I40" s="232"/>
      <c r="J40" s="235"/>
      <c r="K40" s="238"/>
      <c r="L40" s="220"/>
      <c r="M40" s="232"/>
      <c r="N40" s="229"/>
      <c r="O40" s="6"/>
      <c r="P40" s="148"/>
      <c r="Q40" s="137"/>
      <c r="R40" s="138"/>
      <c r="S40" s="138"/>
      <c r="T40" s="139"/>
      <c r="U40" s="138"/>
      <c r="V40" s="138"/>
      <c r="W40" s="138"/>
      <c r="X40" s="140"/>
      <c r="Y40" s="141"/>
      <c r="Z40" s="142"/>
      <c r="AA40" s="141"/>
      <c r="AB40" s="142"/>
      <c r="AC40" s="143"/>
      <c r="AD40" s="144"/>
      <c r="AE40" s="145"/>
      <c r="AF40" s="145"/>
      <c r="AG40" s="145"/>
      <c r="AH40" s="146"/>
      <c r="AI40" s="146"/>
      <c r="AJ40" s="145"/>
      <c r="AK40" s="14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151.5" hidden="1" customHeight="1" x14ac:dyDescent="0.3">
      <c r="A41" s="224"/>
      <c r="B41" s="215"/>
      <c r="C41" s="215"/>
      <c r="D41" s="215"/>
      <c r="E41" s="227"/>
      <c r="F41" s="215"/>
      <c r="G41" s="218"/>
      <c r="H41" s="221"/>
      <c r="I41" s="233"/>
      <c r="J41" s="236"/>
      <c r="K41" s="239"/>
      <c r="L41" s="221"/>
      <c r="M41" s="233"/>
      <c r="N41" s="230"/>
      <c r="O41" s="6"/>
      <c r="P41" s="148"/>
      <c r="Q41" s="137"/>
      <c r="R41" s="138"/>
      <c r="S41" s="138"/>
      <c r="T41" s="139"/>
      <c r="U41" s="138"/>
      <c r="V41" s="138"/>
      <c r="W41" s="138"/>
      <c r="X41" s="140"/>
      <c r="Y41" s="141"/>
      <c r="Z41" s="142"/>
      <c r="AA41" s="141"/>
      <c r="AB41" s="142"/>
      <c r="AC41" s="143"/>
      <c r="AD41" s="144"/>
      <c r="AE41" s="145"/>
      <c r="AF41" s="145"/>
      <c r="AG41" s="145"/>
      <c r="AH41" s="146"/>
      <c r="AI41" s="146"/>
      <c r="AJ41" s="145"/>
      <c r="AK41" s="14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151.5" hidden="1" customHeight="1" x14ac:dyDescent="0.3">
      <c r="A42" s="224"/>
      <c r="B42" s="215"/>
      <c r="C42" s="215"/>
      <c r="D42" s="215"/>
      <c r="E42" s="227"/>
      <c r="F42" s="215"/>
      <c r="G42" s="218"/>
      <c r="H42" s="221"/>
      <c r="I42" s="233"/>
      <c r="J42" s="236"/>
      <c r="K42" s="239"/>
      <c r="L42" s="221"/>
      <c r="M42" s="233"/>
      <c r="N42" s="230"/>
      <c r="O42" s="6"/>
      <c r="P42" s="145"/>
      <c r="Q42" s="137"/>
      <c r="R42" s="138"/>
      <c r="S42" s="138"/>
      <c r="T42" s="139"/>
      <c r="U42" s="138"/>
      <c r="V42" s="138"/>
      <c r="W42" s="138"/>
      <c r="X42" s="140"/>
      <c r="Y42" s="141"/>
      <c r="Z42" s="142"/>
      <c r="AA42" s="141"/>
      <c r="AB42" s="142"/>
      <c r="AC42" s="143"/>
      <c r="AD42" s="144"/>
      <c r="AE42" s="145"/>
      <c r="AF42" s="145"/>
      <c r="AG42" s="145"/>
      <c r="AH42" s="146"/>
      <c r="AI42" s="146"/>
      <c r="AJ42" s="145"/>
      <c r="AK42" s="14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151.5" hidden="1" customHeight="1" x14ac:dyDescent="0.3">
      <c r="A43" s="224"/>
      <c r="B43" s="215"/>
      <c r="C43" s="215"/>
      <c r="D43" s="215"/>
      <c r="E43" s="227"/>
      <c r="F43" s="215"/>
      <c r="G43" s="218"/>
      <c r="H43" s="221"/>
      <c r="I43" s="233"/>
      <c r="J43" s="236"/>
      <c r="K43" s="239"/>
      <c r="L43" s="221"/>
      <c r="M43" s="233"/>
      <c r="N43" s="230"/>
      <c r="O43" s="122"/>
      <c r="P43" s="123"/>
      <c r="Q43" s="124"/>
      <c r="R43" s="125"/>
      <c r="S43" s="125"/>
      <c r="T43" s="126"/>
      <c r="U43" s="125"/>
      <c r="V43" s="125"/>
      <c r="W43" s="125"/>
      <c r="X43" s="127"/>
      <c r="Y43" s="128"/>
      <c r="Z43" s="129"/>
      <c r="AA43" s="128"/>
      <c r="AB43" s="129"/>
      <c r="AC43" s="130"/>
      <c r="AD43" s="144"/>
      <c r="AE43" s="131"/>
      <c r="AF43" s="131"/>
      <c r="AG43" s="132"/>
      <c r="AH43" s="133"/>
      <c r="AI43" s="133"/>
      <c r="AJ43" s="145"/>
      <c r="AK43" s="14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151.5" hidden="1" customHeight="1" x14ac:dyDescent="0.3">
      <c r="A44" s="224"/>
      <c r="B44" s="215"/>
      <c r="C44" s="215"/>
      <c r="D44" s="215"/>
      <c r="E44" s="227"/>
      <c r="F44" s="215"/>
      <c r="G44" s="218"/>
      <c r="H44" s="221"/>
      <c r="I44" s="233"/>
      <c r="J44" s="236"/>
      <c r="K44" s="239"/>
      <c r="L44" s="221"/>
      <c r="M44" s="233"/>
      <c r="N44" s="230"/>
      <c r="O44" s="122"/>
      <c r="P44" s="123"/>
      <c r="Q44" s="124"/>
      <c r="R44" s="125"/>
      <c r="S44" s="125"/>
      <c r="T44" s="126"/>
      <c r="U44" s="125"/>
      <c r="V44" s="125"/>
      <c r="W44" s="125"/>
      <c r="X44" s="127"/>
      <c r="Y44" s="128"/>
      <c r="Z44" s="129"/>
      <c r="AA44" s="128"/>
      <c r="AB44" s="129"/>
      <c r="AC44" s="130"/>
      <c r="AD44" s="144"/>
      <c r="AE44" s="131"/>
      <c r="AF44" s="131"/>
      <c r="AG44" s="132"/>
      <c r="AH44" s="133"/>
      <c r="AI44" s="133"/>
      <c r="AJ44" s="145"/>
      <c r="AK44" s="14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151.5" hidden="1" customHeight="1" x14ac:dyDescent="0.3">
      <c r="A45" s="225"/>
      <c r="B45" s="216"/>
      <c r="C45" s="216"/>
      <c r="D45" s="216"/>
      <c r="E45" s="228"/>
      <c r="F45" s="216"/>
      <c r="G45" s="219"/>
      <c r="H45" s="222"/>
      <c r="I45" s="234"/>
      <c r="J45" s="237"/>
      <c r="K45" s="240"/>
      <c r="L45" s="222"/>
      <c r="M45" s="234"/>
      <c r="N45" s="231"/>
      <c r="O45" s="122"/>
      <c r="P45" s="123"/>
      <c r="Q45" s="124"/>
      <c r="R45" s="125"/>
      <c r="S45" s="125"/>
      <c r="T45" s="126"/>
      <c r="U45" s="125"/>
      <c r="V45" s="125"/>
      <c r="W45" s="125"/>
      <c r="X45" s="127"/>
      <c r="Y45" s="128"/>
      <c r="Z45" s="129"/>
      <c r="AA45" s="128"/>
      <c r="AB45" s="129"/>
      <c r="AC45" s="130"/>
      <c r="AD45" s="144"/>
      <c r="AE45" s="131"/>
      <c r="AF45" s="131"/>
      <c r="AG45" s="132"/>
      <c r="AH45" s="133"/>
      <c r="AI45" s="133"/>
      <c r="AJ45" s="145"/>
      <c r="AK45" s="14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151.5" hidden="1" customHeight="1" x14ac:dyDescent="0.3">
      <c r="A46" s="241">
        <v>7</v>
      </c>
      <c r="B46" s="261"/>
      <c r="C46" s="261"/>
      <c r="D46" s="261"/>
      <c r="E46" s="264"/>
      <c r="F46" s="261"/>
      <c r="G46" s="267"/>
      <c r="H46" s="258" t="str">
        <f>IF(G46&lt;=0,"",IF(G46&lt;=2,"Muy Baja",IF(G46&lt;=24,"Baja",IF(G46&lt;=500,"Media",IF(G46&lt;=5000,"Alta","Muy Alta")))))</f>
        <v/>
      </c>
      <c r="I46" s="238" t="str">
        <f>IF(H46="","",IF(H46="Muy Baja",0.2,IF(H46="Baja",0.4,IF(H46="Media",0.6,IF(H46="Alta",0.8,IF(H46="Muy Alta",1,))))))</f>
        <v/>
      </c>
      <c r="J46" s="255"/>
      <c r="K46" s="238">
        <f>IF(NOT(ISERROR(MATCH(J46,'Tabla Impacto'!$B$221:$B$223,0))),'Tabla Impacto'!$F$223&amp;"Por favor no seleccionar los criterios de impacto(Afectación Económica o presupuestal y Pérdida Reputacional)",J46)</f>
        <v>0</v>
      </c>
      <c r="L46" s="258" t="str">
        <f>IF(OR(K46='Tabla Impacto'!$C$11,K46='Tabla Impacto'!$D$11),"Leve",IF(OR(K46='Tabla Impacto'!$C$12,K46='Tabla Impacto'!$D$12),"Menor",IF(OR(K46='Tabla Impacto'!$C$13,K46='Tabla Impacto'!$D$13),"Moderado",IF(OR(K46='Tabla Impacto'!$C$14,K46='Tabla Impacto'!$D$14),"Mayor",IF(OR(K46='Tabla Impacto'!$C$15,K46='Tabla Impacto'!$D$15),"Catastrófico","")))))</f>
        <v/>
      </c>
      <c r="M46" s="238" t="str">
        <f>IF(L46="","",IF(L46="Leve",0.2,IF(L46="Menor",0.4,IF(L46="Moderado",0.6,IF(L46="Mayor",0.8,IF(L46="Catastrófico",1,))))))</f>
        <v/>
      </c>
      <c r="N46" s="270"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2">
        <v>1</v>
      </c>
      <c r="P46" s="123"/>
      <c r="Q46" s="124" t="str">
        <f>IF(OR(R46="Preventivo",R46="Detectivo"),"Probabilidad",IF(R46="Correctivo","Impacto",""))</f>
        <v/>
      </c>
      <c r="R46" s="125"/>
      <c r="S46" s="125"/>
      <c r="T46" s="126" t="str">
        <f>IF(AND(R46="Preventivo",S46="Automático"),"50%",IF(AND(R46="Preventivo",S46="Manual"),"40%",IF(AND(R46="Detectivo",S46="Automático"),"40%",IF(AND(R46="Detectivo",S46="Manual"),"30%",IF(AND(R46="Correctivo",S46="Automático"),"35%",IF(AND(R46="Correctivo",S46="Manual"),"25%",""))))))</f>
        <v/>
      </c>
      <c r="U46" s="125"/>
      <c r="V46" s="125"/>
      <c r="W46" s="125"/>
      <c r="X46" s="127" t="str">
        <f>IFERROR(IF(Q46="Probabilidad",(I46-(+I46*T46)),IF(Q46="Impacto",I46,"")),"")</f>
        <v/>
      </c>
      <c r="Y46" s="128" t="str">
        <f>IFERROR(IF(X46="","",IF(X46&lt;=0.2,"Muy Baja",IF(X46&lt;=0.4,"Baja",IF(X46&lt;=0.6,"Media",IF(X46&lt;=0.8,"Alta","Muy Alta"))))),"")</f>
        <v/>
      </c>
      <c r="Z46" s="129" t="str">
        <f>+X46</f>
        <v/>
      </c>
      <c r="AA46" s="128" t="str">
        <f>IFERROR(IF(AB46="","",IF(AB46&lt;=0.2,"Leve",IF(AB46&lt;=0.4,"Menor",IF(AB46&lt;=0.6,"Moderado",IF(AB46&lt;=0.8,"Mayor","Catastrófico"))))),"")</f>
        <v/>
      </c>
      <c r="AB46" s="129" t="str">
        <f>IFERROR(IF(Q46="Impacto",(M46-(+M46*T46)),IF(Q46="Probabilidad",M46,"")),"")</f>
        <v/>
      </c>
      <c r="AC46" s="130"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44"/>
      <c r="AE46" s="131"/>
      <c r="AF46" s="131"/>
      <c r="AG46" s="132"/>
      <c r="AH46" s="133"/>
      <c r="AI46" s="133"/>
      <c r="AJ46" s="145"/>
      <c r="AK46" s="14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151.5" hidden="1" customHeight="1" x14ac:dyDescent="0.3">
      <c r="A47" s="242"/>
      <c r="B47" s="262"/>
      <c r="C47" s="262"/>
      <c r="D47" s="262"/>
      <c r="E47" s="265"/>
      <c r="F47" s="262"/>
      <c r="G47" s="268"/>
      <c r="H47" s="259"/>
      <c r="I47" s="239"/>
      <c r="J47" s="256"/>
      <c r="K47" s="239">
        <f t="shared" ref="K47:K51" ca="1" si="36">IF(NOT(ISERROR(MATCH(J47,_xlfn.ANCHORARRAY(E58),0))),I60&amp;"Por favor no seleccionar los criterios de impacto",J47)</f>
        <v>0</v>
      </c>
      <c r="L47" s="259"/>
      <c r="M47" s="239"/>
      <c r="N47" s="271"/>
      <c r="O47" s="122">
        <v>2</v>
      </c>
      <c r="P47" s="123"/>
      <c r="Q47" s="124" t="str">
        <f>IF(OR(R47="Preventivo",R47="Detectivo"),"Probabilidad",IF(R47="Correctivo","Impacto",""))</f>
        <v/>
      </c>
      <c r="R47" s="125"/>
      <c r="S47" s="125"/>
      <c r="T47" s="126" t="str">
        <f t="shared" ref="T47:T51" si="37">IF(AND(R47="Preventivo",S47="Automático"),"50%",IF(AND(R47="Preventivo",S47="Manual"),"40%",IF(AND(R47="Detectivo",S47="Automático"),"40%",IF(AND(R47="Detectivo",S47="Manual"),"30%",IF(AND(R47="Correctivo",S47="Automático"),"35%",IF(AND(R47="Correctivo",S47="Manual"),"25%",""))))))</f>
        <v/>
      </c>
      <c r="U47" s="125"/>
      <c r="V47" s="125"/>
      <c r="W47" s="125"/>
      <c r="X47" s="127" t="str">
        <f>IFERROR(IF(AND(Q46="Probabilidad",Q47="Probabilidad"),(Z46-(+Z46*T47)),IF(Q47="Probabilidad",(I46-(+I46*T47)),IF(Q47="Impacto",Z46,""))),"")</f>
        <v/>
      </c>
      <c r="Y47" s="128" t="str">
        <f t="shared" si="1"/>
        <v/>
      </c>
      <c r="Z47" s="129" t="str">
        <f t="shared" ref="Z47:Z51" si="38">+X47</f>
        <v/>
      </c>
      <c r="AA47" s="128" t="str">
        <f t="shared" si="3"/>
        <v/>
      </c>
      <c r="AB47" s="129" t="str">
        <f>IFERROR(IF(AND(Q46="Impacto",Q47="Impacto"),(AB46-(+AB46*T47)),IF(Q47="Impacto",(M46-(+M46*T47)),IF(Q47="Probabilidad",AB46,""))),"")</f>
        <v/>
      </c>
      <c r="AC47" s="130" t="str">
        <f t="shared" ref="AC47:AC48" si="3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44"/>
      <c r="AE47" s="131"/>
      <c r="AF47" s="131"/>
      <c r="AG47" s="132"/>
      <c r="AH47" s="133"/>
      <c r="AI47" s="133"/>
      <c r="AJ47" s="145"/>
      <c r="AK47" s="14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151.5" hidden="1" customHeight="1" x14ac:dyDescent="0.3">
      <c r="A48" s="242"/>
      <c r="B48" s="262"/>
      <c r="C48" s="262"/>
      <c r="D48" s="262"/>
      <c r="E48" s="265"/>
      <c r="F48" s="262"/>
      <c r="G48" s="268"/>
      <c r="H48" s="259"/>
      <c r="I48" s="239"/>
      <c r="J48" s="256"/>
      <c r="K48" s="239">
        <f t="shared" ca="1" si="36"/>
        <v>0</v>
      </c>
      <c r="L48" s="259"/>
      <c r="M48" s="239"/>
      <c r="N48" s="271"/>
      <c r="O48" s="122">
        <v>3</v>
      </c>
      <c r="P48" s="134"/>
      <c r="Q48" s="124" t="str">
        <f>IF(OR(R48="Preventivo",R48="Detectivo"),"Probabilidad",IF(R48="Correctivo","Impacto",""))</f>
        <v/>
      </c>
      <c r="R48" s="125"/>
      <c r="S48" s="125"/>
      <c r="T48" s="126" t="str">
        <f t="shared" si="37"/>
        <v/>
      </c>
      <c r="U48" s="125"/>
      <c r="V48" s="125"/>
      <c r="W48" s="125"/>
      <c r="X48" s="127" t="str">
        <f>IFERROR(IF(AND(Q47="Probabilidad",Q48="Probabilidad"),(Z47-(+Z47*T48)),IF(AND(Q47="Impacto",Q48="Probabilidad"),(Z46-(+Z46*T48)),IF(Q48="Impacto",Z47,""))),"")</f>
        <v/>
      </c>
      <c r="Y48" s="128" t="str">
        <f t="shared" si="1"/>
        <v/>
      </c>
      <c r="Z48" s="129" t="str">
        <f t="shared" si="38"/>
        <v/>
      </c>
      <c r="AA48" s="128" t="str">
        <f t="shared" si="3"/>
        <v/>
      </c>
      <c r="AB48" s="129" t="str">
        <f>IFERROR(IF(AND(Q47="Impacto",Q48="Impacto"),(AB47-(+AB47*T48)),IF(AND(Q47="Probabilidad",Q48="Impacto"),(AB46-(+AB46*T48)),IF(Q48="Probabilidad",AB47,""))),"")</f>
        <v/>
      </c>
      <c r="AC48" s="130" t="str">
        <f t="shared" si="39"/>
        <v/>
      </c>
      <c r="AD48" s="144"/>
      <c r="AE48" s="131"/>
      <c r="AF48" s="131"/>
      <c r="AG48" s="132"/>
      <c r="AH48" s="133"/>
      <c r="AI48" s="133"/>
      <c r="AJ48" s="145"/>
      <c r="AK48" s="14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151.5" hidden="1" customHeight="1" x14ac:dyDescent="0.3">
      <c r="A49" s="242"/>
      <c r="B49" s="262"/>
      <c r="C49" s="262"/>
      <c r="D49" s="262"/>
      <c r="E49" s="265"/>
      <c r="F49" s="262"/>
      <c r="G49" s="268"/>
      <c r="H49" s="259"/>
      <c r="I49" s="239"/>
      <c r="J49" s="256"/>
      <c r="K49" s="239">
        <f t="shared" ca="1" si="36"/>
        <v>0</v>
      </c>
      <c r="L49" s="259"/>
      <c r="M49" s="239"/>
      <c r="N49" s="271"/>
      <c r="O49" s="122">
        <v>4</v>
      </c>
      <c r="P49" s="123"/>
      <c r="Q49" s="124" t="str">
        <f t="shared" ref="Q49:Q51" si="40">IF(OR(R49="Preventivo",R49="Detectivo"),"Probabilidad",IF(R49="Correctivo","Impacto",""))</f>
        <v/>
      </c>
      <c r="R49" s="125"/>
      <c r="S49" s="125"/>
      <c r="T49" s="126" t="str">
        <f t="shared" si="37"/>
        <v/>
      </c>
      <c r="U49" s="125"/>
      <c r="V49" s="125"/>
      <c r="W49" s="125"/>
      <c r="X49" s="127" t="str">
        <f t="shared" ref="X49:X51" si="41">IFERROR(IF(AND(Q48="Probabilidad",Q49="Probabilidad"),(Z48-(+Z48*T49)),IF(AND(Q48="Impacto",Q49="Probabilidad"),(Z47-(+Z47*T49)),IF(Q49="Impacto",Z48,""))),"")</f>
        <v/>
      </c>
      <c r="Y49" s="128" t="str">
        <f t="shared" si="1"/>
        <v/>
      </c>
      <c r="Z49" s="129" t="str">
        <f t="shared" si="38"/>
        <v/>
      </c>
      <c r="AA49" s="128" t="str">
        <f t="shared" si="3"/>
        <v/>
      </c>
      <c r="AB49" s="129" t="str">
        <f t="shared" ref="AB49:AB51" si="42">IFERROR(IF(AND(Q48="Impacto",Q49="Impacto"),(AB48-(+AB48*T49)),IF(AND(Q48="Probabilidad",Q49="Impacto"),(AB47-(+AB47*T49)),IF(Q49="Probabilidad",AB48,""))),"")</f>
        <v/>
      </c>
      <c r="AC49" s="130"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44"/>
      <c r="AE49" s="131"/>
      <c r="AF49" s="131"/>
      <c r="AG49" s="132"/>
      <c r="AH49" s="133"/>
      <c r="AI49" s="133"/>
      <c r="AJ49" s="145"/>
      <c r="AK49" s="14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151.5" hidden="1" customHeight="1" x14ac:dyDescent="0.3">
      <c r="A50" s="242"/>
      <c r="B50" s="262"/>
      <c r="C50" s="262"/>
      <c r="D50" s="262"/>
      <c r="E50" s="265"/>
      <c r="F50" s="262"/>
      <c r="G50" s="268"/>
      <c r="H50" s="259"/>
      <c r="I50" s="239"/>
      <c r="J50" s="256"/>
      <c r="K50" s="239">
        <f t="shared" ca="1" si="36"/>
        <v>0</v>
      </c>
      <c r="L50" s="259"/>
      <c r="M50" s="239"/>
      <c r="N50" s="271"/>
      <c r="O50" s="122">
        <v>5</v>
      </c>
      <c r="P50" s="123"/>
      <c r="Q50" s="124" t="str">
        <f t="shared" si="40"/>
        <v/>
      </c>
      <c r="R50" s="125"/>
      <c r="S50" s="125"/>
      <c r="T50" s="126" t="str">
        <f t="shared" si="37"/>
        <v/>
      </c>
      <c r="U50" s="125"/>
      <c r="V50" s="125"/>
      <c r="W50" s="125"/>
      <c r="X50" s="127" t="str">
        <f t="shared" si="41"/>
        <v/>
      </c>
      <c r="Y50" s="128" t="str">
        <f t="shared" si="1"/>
        <v/>
      </c>
      <c r="Z50" s="129" t="str">
        <f t="shared" si="38"/>
        <v/>
      </c>
      <c r="AA50" s="128" t="str">
        <f t="shared" si="3"/>
        <v/>
      </c>
      <c r="AB50" s="129" t="str">
        <f t="shared" si="42"/>
        <v/>
      </c>
      <c r="AC50" s="130" t="str">
        <f t="shared" ref="AC50:AC51" si="4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44"/>
      <c r="AE50" s="131"/>
      <c r="AF50" s="131"/>
      <c r="AG50" s="132"/>
      <c r="AH50" s="133"/>
      <c r="AI50" s="133"/>
      <c r="AJ50" s="145"/>
      <c r="AK50" s="14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151.5" hidden="1" customHeight="1" x14ac:dyDescent="0.3">
      <c r="A51" s="243"/>
      <c r="B51" s="263"/>
      <c r="C51" s="263"/>
      <c r="D51" s="263"/>
      <c r="E51" s="266"/>
      <c r="F51" s="263"/>
      <c r="G51" s="269"/>
      <c r="H51" s="260"/>
      <c r="I51" s="240"/>
      <c r="J51" s="257"/>
      <c r="K51" s="240">
        <f t="shared" ca="1" si="36"/>
        <v>0</v>
      </c>
      <c r="L51" s="260"/>
      <c r="M51" s="240"/>
      <c r="N51" s="272"/>
      <c r="O51" s="122">
        <v>6</v>
      </c>
      <c r="P51" s="123"/>
      <c r="Q51" s="124" t="str">
        <f t="shared" si="40"/>
        <v/>
      </c>
      <c r="R51" s="125"/>
      <c r="S51" s="125"/>
      <c r="T51" s="126" t="str">
        <f t="shared" si="37"/>
        <v/>
      </c>
      <c r="U51" s="125"/>
      <c r="V51" s="125"/>
      <c r="W51" s="125"/>
      <c r="X51" s="127" t="str">
        <f t="shared" si="41"/>
        <v/>
      </c>
      <c r="Y51" s="128" t="str">
        <f t="shared" si="1"/>
        <v/>
      </c>
      <c r="Z51" s="129" t="str">
        <f t="shared" si="38"/>
        <v/>
      </c>
      <c r="AA51" s="128" t="str">
        <f t="shared" si="3"/>
        <v/>
      </c>
      <c r="AB51" s="129" t="str">
        <f t="shared" si="42"/>
        <v/>
      </c>
      <c r="AC51" s="130" t="str">
        <f t="shared" si="43"/>
        <v/>
      </c>
      <c r="AD51" s="144"/>
      <c r="AE51" s="131"/>
      <c r="AF51" s="131"/>
      <c r="AG51" s="132"/>
      <c r="AH51" s="133"/>
      <c r="AI51" s="133"/>
      <c r="AJ51" s="145"/>
      <c r="AK51" s="14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151.5" hidden="1" customHeight="1" x14ac:dyDescent="0.3">
      <c r="A52" s="241">
        <v>8</v>
      </c>
      <c r="B52" s="261"/>
      <c r="C52" s="261"/>
      <c r="D52" s="261"/>
      <c r="E52" s="264"/>
      <c r="F52" s="261"/>
      <c r="G52" s="267"/>
      <c r="H52" s="258" t="str">
        <f>IF(G52&lt;=0,"",IF(G52&lt;=2,"Muy Baja",IF(G52&lt;=24,"Baja",IF(G52&lt;=500,"Media",IF(G52&lt;=5000,"Alta","Muy Alta")))))</f>
        <v/>
      </c>
      <c r="I52" s="238" t="str">
        <f>IF(H52="","",IF(H52="Muy Baja",0.2,IF(H52="Baja",0.4,IF(H52="Media",0.6,IF(H52="Alta",0.8,IF(H52="Muy Alta",1,))))))</f>
        <v/>
      </c>
      <c r="J52" s="255"/>
      <c r="K52" s="238">
        <f>IF(NOT(ISERROR(MATCH(J52,'Tabla Impacto'!$B$221:$B$223,0))),'Tabla Impacto'!$F$223&amp;"Por favor no seleccionar los criterios de impacto(Afectación Económica o presupuestal y Pérdida Reputacional)",J52)</f>
        <v>0</v>
      </c>
      <c r="L52" s="258" t="str">
        <f>IF(OR(K52='Tabla Impacto'!$C$11,K52='Tabla Impacto'!$D$11),"Leve",IF(OR(K52='Tabla Impacto'!$C$12,K52='Tabla Impacto'!$D$12),"Menor",IF(OR(K52='Tabla Impacto'!$C$13,K52='Tabla Impacto'!$D$13),"Moderado",IF(OR(K52='Tabla Impacto'!$C$14,K52='Tabla Impacto'!$D$14),"Mayor",IF(OR(K52='Tabla Impacto'!$C$15,K52='Tabla Impacto'!$D$15),"Catastrófico","")))))</f>
        <v/>
      </c>
      <c r="M52" s="238" t="str">
        <f>IF(L52="","",IF(L52="Leve",0.2,IF(L52="Menor",0.4,IF(L52="Moderado",0.6,IF(L52="Mayor",0.8,IF(L52="Catastrófico",1,))))))</f>
        <v/>
      </c>
      <c r="N52" s="270"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2">
        <v>1</v>
      </c>
      <c r="P52" s="123"/>
      <c r="Q52" s="124" t="str">
        <f>IF(OR(R52="Preventivo",R52="Detectivo"),"Probabilidad",IF(R52="Correctivo","Impacto",""))</f>
        <v/>
      </c>
      <c r="R52" s="125"/>
      <c r="S52" s="125"/>
      <c r="T52" s="126" t="str">
        <f>IF(AND(R52="Preventivo",S52="Automático"),"50%",IF(AND(R52="Preventivo",S52="Manual"),"40%",IF(AND(R52="Detectivo",S52="Automático"),"40%",IF(AND(R52="Detectivo",S52="Manual"),"30%",IF(AND(R52="Correctivo",S52="Automático"),"35%",IF(AND(R52="Correctivo",S52="Manual"),"25%",""))))))</f>
        <v/>
      </c>
      <c r="U52" s="125"/>
      <c r="V52" s="125"/>
      <c r="W52" s="125"/>
      <c r="X52" s="127" t="str">
        <f>IFERROR(IF(Q52="Probabilidad",(I52-(+I52*T52)),IF(Q52="Impacto",I52,"")),"")</f>
        <v/>
      </c>
      <c r="Y52" s="128" t="str">
        <f>IFERROR(IF(X52="","",IF(X52&lt;=0.2,"Muy Baja",IF(X52&lt;=0.4,"Baja",IF(X52&lt;=0.6,"Media",IF(X52&lt;=0.8,"Alta","Muy Alta"))))),"")</f>
        <v/>
      </c>
      <c r="Z52" s="129" t="str">
        <f>+X52</f>
        <v/>
      </c>
      <c r="AA52" s="128" t="str">
        <f>IFERROR(IF(AB52="","",IF(AB52&lt;=0.2,"Leve",IF(AB52&lt;=0.4,"Menor",IF(AB52&lt;=0.6,"Moderado",IF(AB52&lt;=0.8,"Mayor","Catastrófico"))))),"")</f>
        <v/>
      </c>
      <c r="AB52" s="129" t="str">
        <f>IFERROR(IF(Q52="Impacto",(M52-(+M52*T52)),IF(Q52="Probabilidad",M52,"")),"")</f>
        <v/>
      </c>
      <c r="AC52" s="130"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44"/>
      <c r="AE52" s="131"/>
      <c r="AF52" s="131"/>
      <c r="AG52" s="132"/>
      <c r="AH52" s="133"/>
      <c r="AI52" s="133"/>
      <c r="AJ52" s="145"/>
      <c r="AK52" s="14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151.5" hidden="1" customHeight="1" x14ac:dyDescent="0.3">
      <c r="A53" s="242"/>
      <c r="B53" s="262"/>
      <c r="C53" s="262"/>
      <c r="D53" s="262"/>
      <c r="E53" s="265"/>
      <c r="F53" s="262"/>
      <c r="G53" s="268"/>
      <c r="H53" s="259"/>
      <c r="I53" s="239"/>
      <c r="J53" s="256"/>
      <c r="K53" s="239">
        <f ca="1">IF(NOT(ISERROR(MATCH(J53,_xlfn.ANCHORARRAY(E64),0))),I66&amp;"Por favor no seleccionar los criterios de impacto",J53)</f>
        <v>0</v>
      </c>
      <c r="L53" s="259"/>
      <c r="M53" s="239"/>
      <c r="N53" s="271"/>
      <c r="O53" s="122">
        <v>2</v>
      </c>
      <c r="P53" s="123"/>
      <c r="Q53" s="124" t="str">
        <f>IF(OR(R53="Preventivo",R53="Detectivo"),"Probabilidad",IF(R53="Correctivo","Impacto",""))</f>
        <v/>
      </c>
      <c r="R53" s="125"/>
      <c r="S53" s="125"/>
      <c r="T53" s="126" t="str">
        <f t="shared" ref="T53:T57" si="44">IF(AND(R53="Preventivo",S53="Automático"),"50%",IF(AND(R53="Preventivo",S53="Manual"),"40%",IF(AND(R53="Detectivo",S53="Automático"),"40%",IF(AND(R53="Detectivo",S53="Manual"),"30%",IF(AND(R53="Correctivo",S53="Automático"),"35%",IF(AND(R53="Correctivo",S53="Manual"),"25%",""))))))</f>
        <v/>
      </c>
      <c r="U53" s="125"/>
      <c r="V53" s="125"/>
      <c r="W53" s="125"/>
      <c r="X53" s="127" t="str">
        <f>IFERROR(IF(AND(Q52="Probabilidad",Q53="Probabilidad"),(Z52-(+Z52*T53)),IF(Q53="Probabilidad",(I52-(+I52*T53)),IF(Q53="Impacto",Z52,""))),"")</f>
        <v/>
      </c>
      <c r="Y53" s="128" t="str">
        <f t="shared" si="1"/>
        <v/>
      </c>
      <c r="Z53" s="129" t="str">
        <f t="shared" ref="Z53:Z57" si="45">+X53</f>
        <v/>
      </c>
      <c r="AA53" s="128" t="str">
        <f t="shared" si="3"/>
        <v/>
      </c>
      <c r="AB53" s="129" t="str">
        <f>IFERROR(IF(AND(Q52="Impacto",Q53="Impacto"),(AB52-(+AB52*T53)),IF(Q53="Impacto",(M52-(+M52*T53)),IF(Q53="Probabilidad",AB52,""))),"")</f>
        <v/>
      </c>
      <c r="AC53" s="130" t="str">
        <f t="shared" ref="AC53:AC54" si="4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44"/>
      <c r="AE53" s="131"/>
      <c r="AF53" s="131"/>
      <c r="AG53" s="132"/>
      <c r="AH53" s="133"/>
      <c r="AI53" s="133"/>
      <c r="AJ53" s="145"/>
      <c r="AK53" s="14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row>
    <row r="54" spans="1:68" ht="151.5" hidden="1" customHeight="1" x14ac:dyDescent="0.3">
      <c r="A54" s="242"/>
      <c r="B54" s="262"/>
      <c r="C54" s="262"/>
      <c r="D54" s="262"/>
      <c r="E54" s="265"/>
      <c r="F54" s="262"/>
      <c r="G54" s="268"/>
      <c r="H54" s="259"/>
      <c r="I54" s="239"/>
      <c r="J54" s="256"/>
      <c r="K54" s="239">
        <f ca="1">IF(NOT(ISERROR(MATCH(J54,_xlfn.ANCHORARRAY(E65),0))),I67&amp;"Por favor no seleccionar los criterios de impacto",J54)</f>
        <v>0</v>
      </c>
      <c r="L54" s="259"/>
      <c r="M54" s="239"/>
      <c r="N54" s="271"/>
      <c r="O54" s="122">
        <v>3</v>
      </c>
      <c r="P54" s="134"/>
      <c r="Q54" s="124" t="str">
        <f>IF(OR(R54="Preventivo",R54="Detectivo"),"Probabilidad",IF(R54="Correctivo","Impacto",""))</f>
        <v/>
      </c>
      <c r="R54" s="125"/>
      <c r="S54" s="125"/>
      <c r="T54" s="126" t="str">
        <f t="shared" si="44"/>
        <v/>
      </c>
      <c r="U54" s="125"/>
      <c r="V54" s="125"/>
      <c r="W54" s="125"/>
      <c r="X54" s="127" t="str">
        <f>IFERROR(IF(AND(Q53="Probabilidad",Q54="Probabilidad"),(Z53-(+Z53*T54)),IF(AND(Q53="Impacto",Q54="Probabilidad"),(Z52-(+Z52*T54)),IF(Q54="Impacto",Z53,""))),"")</f>
        <v/>
      </c>
      <c r="Y54" s="128" t="str">
        <f t="shared" si="1"/>
        <v/>
      </c>
      <c r="Z54" s="129" t="str">
        <f t="shared" si="45"/>
        <v/>
      </c>
      <c r="AA54" s="128" t="str">
        <f t="shared" si="3"/>
        <v/>
      </c>
      <c r="AB54" s="129" t="str">
        <f>IFERROR(IF(AND(Q53="Impacto",Q54="Impacto"),(AB53-(+AB53*T54)),IF(AND(Q53="Probabilidad",Q54="Impacto"),(AB52-(+AB52*T54)),IF(Q54="Probabilidad",AB53,""))),"")</f>
        <v/>
      </c>
      <c r="AC54" s="130" t="str">
        <f t="shared" si="46"/>
        <v/>
      </c>
      <c r="AD54" s="144"/>
      <c r="AE54" s="131"/>
      <c r="AF54" s="131"/>
      <c r="AG54" s="132"/>
      <c r="AH54" s="133"/>
      <c r="AI54" s="133"/>
      <c r="AJ54" s="145"/>
      <c r="AK54" s="14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row>
    <row r="55" spans="1:68" ht="151.5" hidden="1" customHeight="1" x14ac:dyDescent="0.3">
      <c r="A55" s="242"/>
      <c r="B55" s="262"/>
      <c r="C55" s="262"/>
      <c r="D55" s="262"/>
      <c r="E55" s="265"/>
      <c r="F55" s="262"/>
      <c r="G55" s="268"/>
      <c r="H55" s="259"/>
      <c r="I55" s="239"/>
      <c r="J55" s="256"/>
      <c r="K55" s="239">
        <f ca="1">IF(NOT(ISERROR(MATCH(J55,_xlfn.ANCHORARRAY(E66),0))),I68&amp;"Por favor no seleccionar los criterios de impacto",J55)</f>
        <v>0</v>
      </c>
      <c r="L55" s="259"/>
      <c r="M55" s="239"/>
      <c r="N55" s="271"/>
      <c r="O55" s="122">
        <v>4</v>
      </c>
      <c r="P55" s="123"/>
      <c r="Q55" s="124" t="str">
        <f t="shared" ref="Q55:Q57" si="47">IF(OR(R55="Preventivo",R55="Detectivo"),"Probabilidad",IF(R55="Correctivo","Impacto",""))</f>
        <v/>
      </c>
      <c r="R55" s="125"/>
      <c r="S55" s="125"/>
      <c r="T55" s="126" t="str">
        <f t="shared" si="44"/>
        <v/>
      </c>
      <c r="U55" s="125"/>
      <c r="V55" s="125"/>
      <c r="W55" s="125"/>
      <c r="X55" s="127" t="str">
        <f t="shared" ref="X55:X57" si="48">IFERROR(IF(AND(Q54="Probabilidad",Q55="Probabilidad"),(Z54-(+Z54*T55)),IF(AND(Q54="Impacto",Q55="Probabilidad"),(Z53-(+Z53*T55)),IF(Q55="Impacto",Z54,""))),"")</f>
        <v/>
      </c>
      <c r="Y55" s="128" t="str">
        <f t="shared" si="1"/>
        <v/>
      </c>
      <c r="Z55" s="129" t="str">
        <f t="shared" si="45"/>
        <v/>
      </c>
      <c r="AA55" s="128" t="str">
        <f t="shared" si="3"/>
        <v/>
      </c>
      <c r="AB55" s="129" t="str">
        <f t="shared" ref="AB55:AB57" si="49">IFERROR(IF(AND(Q54="Impacto",Q55="Impacto"),(AB54-(+AB54*T55)),IF(AND(Q54="Probabilidad",Q55="Impacto"),(AB53-(+AB53*T55)),IF(Q55="Probabilidad",AB54,""))),"")</f>
        <v/>
      </c>
      <c r="AC55" s="130"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44"/>
      <c r="AE55" s="131"/>
      <c r="AF55" s="131"/>
      <c r="AG55" s="132"/>
      <c r="AH55" s="133"/>
      <c r="AI55" s="133"/>
      <c r="AJ55" s="145"/>
      <c r="AK55" s="14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row>
    <row r="56" spans="1:68" ht="151.5" hidden="1" customHeight="1" x14ac:dyDescent="0.3">
      <c r="A56" s="242"/>
      <c r="B56" s="262"/>
      <c r="C56" s="262"/>
      <c r="D56" s="262"/>
      <c r="E56" s="265"/>
      <c r="F56" s="262"/>
      <c r="G56" s="268"/>
      <c r="H56" s="259"/>
      <c r="I56" s="239"/>
      <c r="J56" s="256"/>
      <c r="K56" s="239">
        <f ca="1">IF(NOT(ISERROR(MATCH(J56,_xlfn.ANCHORARRAY(E67),0))),I69&amp;"Por favor no seleccionar los criterios de impacto",J56)</f>
        <v>0</v>
      </c>
      <c r="L56" s="259"/>
      <c r="M56" s="239"/>
      <c r="N56" s="271"/>
      <c r="O56" s="122">
        <v>5</v>
      </c>
      <c r="P56" s="123"/>
      <c r="Q56" s="124" t="str">
        <f t="shared" si="47"/>
        <v/>
      </c>
      <c r="R56" s="125"/>
      <c r="S56" s="125"/>
      <c r="T56" s="126" t="str">
        <f t="shared" si="44"/>
        <v/>
      </c>
      <c r="U56" s="125"/>
      <c r="V56" s="125"/>
      <c r="W56" s="125"/>
      <c r="X56" s="127" t="str">
        <f t="shared" si="48"/>
        <v/>
      </c>
      <c r="Y56" s="128" t="str">
        <f t="shared" si="1"/>
        <v/>
      </c>
      <c r="Z56" s="129" t="str">
        <f t="shared" si="45"/>
        <v/>
      </c>
      <c r="AA56" s="128" t="str">
        <f t="shared" si="3"/>
        <v/>
      </c>
      <c r="AB56" s="129" t="str">
        <f t="shared" si="49"/>
        <v/>
      </c>
      <c r="AC56" s="130" t="str">
        <f t="shared" ref="AC56:AC57" si="50">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44"/>
      <c r="AE56" s="131"/>
      <c r="AF56" s="131"/>
      <c r="AG56" s="132"/>
      <c r="AH56" s="133"/>
      <c r="AI56" s="133"/>
      <c r="AJ56" s="145"/>
      <c r="AK56" s="14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row>
    <row r="57" spans="1:68" ht="151.5" hidden="1" customHeight="1" x14ac:dyDescent="0.3">
      <c r="A57" s="243"/>
      <c r="B57" s="263"/>
      <c r="C57" s="263"/>
      <c r="D57" s="263"/>
      <c r="E57" s="266"/>
      <c r="F57" s="263"/>
      <c r="G57" s="269"/>
      <c r="H57" s="260"/>
      <c r="I57" s="240"/>
      <c r="J57" s="257"/>
      <c r="K57" s="240">
        <f ca="1">IF(NOT(ISERROR(MATCH(J57,_xlfn.ANCHORARRAY(E68),0))),I70&amp;"Por favor no seleccionar los criterios de impacto",J57)</f>
        <v>0</v>
      </c>
      <c r="L57" s="260"/>
      <c r="M57" s="240"/>
      <c r="N57" s="272"/>
      <c r="O57" s="122">
        <v>6</v>
      </c>
      <c r="P57" s="123"/>
      <c r="Q57" s="124" t="str">
        <f t="shared" si="47"/>
        <v/>
      </c>
      <c r="R57" s="125"/>
      <c r="S57" s="125"/>
      <c r="T57" s="126" t="str">
        <f t="shared" si="44"/>
        <v/>
      </c>
      <c r="U57" s="125"/>
      <c r="V57" s="125"/>
      <c r="W57" s="125"/>
      <c r="X57" s="127" t="str">
        <f t="shared" si="48"/>
        <v/>
      </c>
      <c r="Y57" s="128" t="str">
        <f t="shared" si="1"/>
        <v/>
      </c>
      <c r="Z57" s="129" t="str">
        <f t="shared" si="45"/>
        <v/>
      </c>
      <c r="AA57" s="128" t="str">
        <f t="shared" si="3"/>
        <v/>
      </c>
      <c r="AB57" s="129" t="str">
        <f t="shared" si="49"/>
        <v/>
      </c>
      <c r="AC57" s="130" t="str">
        <f t="shared" si="50"/>
        <v/>
      </c>
      <c r="AD57" s="144"/>
      <c r="AE57" s="131"/>
      <c r="AF57" s="131"/>
      <c r="AG57" s="132"/>
      <c r="AH57" s="133"/>
      <c r="AI57" s="133"/>
      <c r="AJ57" s="145"/>
      <c r="AK57" s="14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row>
    <row r="58" spans="1:68" ht="151.5" hidden="1" customHeight="1" x14ac:dyDescent="0.3">
      <c r="A58" s="241">
        <v>9</v>
      </c>
      <c r="B58" s="261"/>
      <c r="C58" s="261"/>
      <c r="D58" s="261"/>
      <c r="E58" s="264"/>
      <c r="F58" s="261"/>
      <c r="G58" s="267"/>
      <c r="H58" s="258" t="str">
        <f>IF(G58&lt;=0,"",IF(G58&lt;=2,"Muy Baja",IF(G58&lt;=24,"Baja",IF(G58&lt;=500,"Media",IF(G58&lt;=5000,"Alta","Muy Alta")))))</f>
        <v/>
      </c>
      <c r="I58" s="238" t="str">
        <f>IF(H58="","",IF(H58="Muy Baja",0.2,IF(H58="Baja",0.4,IF(H58="Media",0.6,IF(H58="Alta",0.8,IF(H58="Muy Alta",1,))))))</f>
        <v/>
      </c>
      <c r="J58" s="255"/>
      <c r="K58" s="238">
        <f>IF(NOT(ISERROR(MATCH(J58,'Tabla Impacto'!$B$221:$B$223,0))),'Tabla Impacto'!$F$223&amp;"Por favor no seleccionar los criterios de impacto(Afectación Económica o presupuestal y Pérdida Reputacional)",J58)</f>
        <v>0</v>
      </c>
      <c r="L58" s="258" t="str">
        <f>IF(OR(K58='Tabla Impacto'!$C$11,K58='Tabla Impacto'!$D$11),"Leve",IF(OR(K58='Tabla Impacto'!$C$12,K58='Tabla Impacto'!$D$12),"Menor",IF(OR(K58='Tabla Impacto'!$C$13,K58='Tabla Impacto'!$D$13),"Moderado",IF(OR(K58='Tabla Impacto'!$C$14,K58='Tabla Impacto'!$D$14),"Mayor",IF(OR(K58='Tabla Impacto'!$C$15,K58='Tabla Impacto'!$D$15),"Catastrófico","")))))</f>
        <v/>
      </c>
      <c r="M58" s="238" t="str">
        <f>IF(L58="","",IF(L58="Leve",0.2,IF(L58="Menor",0.4,IF(L58="Moderado",0.6,IF(L58="Mayor",0.8,IF(L58="Catastrófico",1,))))))</f>
        <v/>
      </c>
      <c r="N58" s="270"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2">
        <v>1</v>
      </c>
      <c r="P58" s="123"/>
      <c r="Q58" s="124" t="str">
        <f>IF(OR(R58="Preventivo",R58="Detectivo"),"Probabilidad",IF(R58="Correctivo","Impacto",""))</f>
        <v/>
      </c>
      <c r="R58" s="125"/>
      <c r="S58" s="125"/>
      <c r="T58" s="126" t="str">
        <f>IF(AND(R58="Preventivo",S58="Automático"),"50%",IF(AND(R58="Preventivo",S58="Manual"),"40%",IF(AND(R58="Detectivo",S58="Automático"),"40%",IF(AND(R58="Detectivo",S58="Manual"),"30%",IF(AND(R58="Correctivo",S58="Automático"),"35%",IF(AND(R58="Correctivo",S58="Manual"),"25%",""))))))</f>
        <v/>
      </c>
      <c r="U58" s="125"/>
      <c r="V58" s="125"/>
      <c r="W58" s="125"/>
      <c r="X58" s="127" t="str">
        <f>IFERROR(IF(Q58="Probabilidad",(I58-(+I58*T58)),IF(Q58="Impacto",I58,"")),"")</f>
        <v/>
      </c>
      <c r="Y58" s="128" t="str">
        <f>IFERROR(IF(X58="","",IF(X58&lt;=0.2,"Muy Baja",IF(X58&lt;=0.4,"Baja",IF(X58&lt;=0.6,"Media",IF(X58&lt;=0.8,"Alta","Muy Alta"))))),"")</f>
        <v/>
      </c>
      <c r="Z58" s="129" t="str">
        <f>+X58</f>
        <v/>
      </c>
      <c r="AA58" s="128" t="str">
        <f>IFERROR(IF(AB58="","",IF(AB58&lt;=0.2,"Leve",IF(AB58&lt;=0.4,"Menor",IF(AB58&lt;=0.6,"Moderado",IF(AB58&lt;=0.8,"Mayor","Catastrófico"))))),"")</f>
        <v/>
      </c>
      <c r="AB58" s="129" t="str">
        <f>IFERROR(IF(Q58="Impacto",(M58-(+M58*T58)),IF(Q58="Probabilidad",M58,"")),"")</f>
        <v/>
      </c>
      <c r="AC58" s="130"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44"/>
      <c r="AE58" s="131"/>
      <c r="AF58" s="131"/>
      <c r="AG58" s="132"/>
      <c r="AH58" s="133"/>
      <c r="AI58" s="133"/>
      <c r="AJ58" s="145"/>
      <c r="AK58" s="14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row>
    <row r="59" spans="1:68" ht="151.5" hidden="1" customHeight="1" x14ac:dyDescent="0.3">
      <c r="A59" s="242"/>
      <c r="B59" s="262"/>
      <c r="C59" s="262"/>
      <c r="D59" s="262"/>
      <c r="E59" s="265"/>
      <c r="F59" s="262"/>
      <c r="G59" s="268"/>
      <c r="H59" s="259"/>
      <c r="I59" s="239"/>
      <c r="J59" s="256"/>
      <c r="K59" s="239">
        <f ca="1">IF(NOT(ISERROR(MATCH(J59,_xlfn.ANCHORARRAY(E70),0))),I72&amp;"Por favor no seleccionar los criterios de impacto",J59)</f>
        <v>0</v>
      </c>
      <c r="L59" s="259"/>
      <c r="M59" s="239"/>
      <c r="N59" s="271"/>
      <c r="O59" s="122">
        <v>2</v>
      </c>
      <c r="P59" s="123"/>
      <c r="Q59" s="124" t="str">
        <f>IF(OR(R59="Preventivo",R59="Detectivo"),"Probabilidad",IF(R59="Correctivo","Impacto",""))</f>
        <v/>
      </c>
      <c r="R59" s="125"/>
      <c r="S59" s="125"/>
      <c r="T59" s="126" t="str">
        <f t="shared" ref="T59:T63" si="51">IF(AND(R59="Preventivo",S59="Automático"),"50%",IF(AND(R59="Preventivo",S59="Manual"),"40%",IF(AND(R59="Detectivo",S59="Automático"),"40%",IF(AND(R59="Detectivo",S59="Manual"),"30%",IF(AND(R59="Correctivo",S59="Automático"),"35%",IF(AND(R59="Correctivo",S59="Manual"),"25%",""))))))</f>
        <v/>
      </c>
      <c r="U59" s="125"/>
      <c r="V59" s="125"/>
      <c r="W59" s="125"/>
      <c r="X59" s="127" t="str">
        <f>IFERROR(IF(AND(Q58="Probabilidad",Q59="Probabilidad"),(Z58-(+Z58*T59)),IF(Q59="Probabilidad",(I58-(+I58*T59)),IF(Q59="Impacto",Z58,""))),"")</f>
        <v/>
      </c>
      <c r="Y59" s="128" t="str">
        <f t="shared" si="1"/>
        <v/>
      </c>
      <c r="Z59" s="129" t="str">
        <f t="shared" ref="Z59:Z63" si="52">+X59</f>
        <v/>
      </c>
      <c r="AA59" s="128" t="str">
        <f t="shared" si="3"/>
        <v/>
      </c>
      <c r="AB59" s="129" t="str">
        <f>IFERROR(IF(AND(Q58="Impacto",Q59="Impacto"),(AB58-(+AB58*T59)),IF(Q59="Impacto",(M58-(+M58*T59)),IF(Q59="Probabilidad",AB58,""))),"")</f>
        <v/>
      </c>
      <c r="AC59" s="130" t="str">
        <f t="shared" ref="AC59:AC60" si="53">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44"/>
      <c r="AE59" s="131"/>
      <c r="AF59" s="131"/>
      <c r="AG59" s="132"/>
      <c r="AH59" s="133"/>
      <c r="AI59" s="133"/>
      <c r="AJ59" s="145"/>
      <c r="AK59" s="14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row>
    <row r="60" spans="1:68" ht="151.5" hidden="1" customHeight="1" x14ac:dyDescent="0.3">
      <c r="A60" s="242"/>
      <c r="B60" s="262"/>
      <c r="C60" s="262"/>
      <c r="D60" s="262"/>
      <c r="E60" s="265"/>
      <c r="F60" s="262"/>
      <c r="G60" s="268"/>
      <c r="H60" s="259"/>
      <c r="I60" s="239"/>
      <c r="J60" s="256"/>
      <c r="K60" s="239">
        <f ca="1">IF(NOT(ISERROR(MATCH(J60,_xlfn.ANCHORARRAY(E71),0))),I73&amp;"Por favor no seleccionar los criterios de impacto",J60)</f>
        <v>0</v>
      </c>
      <c r="L60" s="259"/>
      <c r="M60" s="239"/>
      <c r="N60" s="271"/>
      <c r="O60" s="122">
        <v>3</v>
      </c>
      <c r="P60" s="134"/>
      <c r="Q60" s="124" t="str">
        <f>IF(OR(R60="Preventivo",R60="Detectivo"),"Probabilidad",IF(R60="Correctivo","Impacto",""))</f>
        <v/>
      </c>
      <c r="R60" s="125"/>
      <c r="S60" s="125"/>
      <c r="T60" s="126" t="str">
        <f t="shared" si="51"/>
        <v/>
      </c>
      <c r="U60" s="125"/>
      <c r="V60" s="125"/>
      <c r="W60" s="125"/>
      <c r="X60" s="127" t="str">
        <f>IFERROR(IF(AND(Q59="Probabilidad",Q60="Probabilidad"),(Z59-(+Z59*T60)),IF(AND(Q59="Impacto",Q60="Probabilidad"),(Z58-(+Z58*T60)),IF(Q60="Impacto",Z59,""))),"")</f>
        <v/>
      </c>
      <c r="Y60" s="128" t="str">
        <f t="shared" si="1"/>
        <v/>
      </c>
      <c r="Z60" s="129" t="str">
        <f t="shared" si="52"/>
        <v/>
      </c>
      <c r="AA60" s="128" t="str">
        <f t="shared" si="3"/>
        <v/>
      </c>
      <c r="AB60" s="129" t="str">
        <f>IFERROR(IF(AND(Q59="Impacto",Q60="Impacto"),(AB59-(+AB59*T60)),IF(AND(Q59="Probabilidad",Q60="Impacto"),(AB58-(+AB58*T60)),IF(Q60="Probabilidad",AB59,""))),"")</f>
        <v/>
      </c>
      <c r="AC60" s="130" t="str">
        <f t="shared" si="53"/>
        <v/>
      </c>
      <c r="AD60" s="144"/>
      <c r="AE60" s="131"/>
      <c r="AF60" s="131"/>
      <c r="AG60" s="132"/>
      <c r="AH60" s="133"/>
      <c r="AI60" s="133"/>
      <c r="AJ60" s="145"/>
      <c r="AK60" s="14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row>
    <row r="61" spans="1:68" ht="151.5" hidden="1" customHeight="1" x14ac:dyDescent="0.3">
      <c r="A61" s="242"/>
      <c r="B61" s="262"/>
      <c r="C61" s="262"/>
      <c r="D61" s="262"/>
      <c r="E61" s="265"/>
      <c r="F61" s="262"/>
      <c r="G61" s="268"/>
      <c r="H61" s="259"/>
      <c r="I61" s="239"/>
      <c r="J61" s="256"/>
      <c r="K61" s="239">
        <f ca="1">IF(NOT(ISERROR(MATCH(J61,_xlfn.ANCHORARRAY(E72),0))),I74&amp;"Por favor no seleccionar los criterios de impacto",J61)</f>
        <v>0</v>
      </c>
      <c r="L61" s="259"/>
      <c r="M61" s="239"/>
      <c r="N61" s="271"/>
      <c r="O61" s="122">
        <v>4</v>
      </c>
      <c r="P61" s="123"/>
      <c r="Q61" s="124" t="str">
        <f t="shared" ref="Q61:Q63" si="54">IF(OR(R61="Preventivo",R61="Detectivo"),"Probabilidad",IF(R61="Correctivo","Impacto",""))</f>
        <v/>
      </c>
      <c r="R61" s="125"/>
      <c r="S61" s="125"/>
      <c r="T61" s="126" t="str">
        <f t="shared" si="51"/>
        <v/>
      </c>
      <c r="U61" s="125"/>
      <c r="V61" s="125"/>
      <c r="W61" s="125"/>
      <c r="X61" s="127" t="str">
        <f t="shared" ref="X61:X63" si="55">IFERROR(IF(AND(Q60="Probabilidad",Q61="Probabilidad"),(Z60-(+Z60*T61)),IF(AND(Q60="Impacto",Q61="Probabilidad"),(Z59-(+Z59*T61)),IF(Q61="Impacto",Z60,""))),"")</f>
        <v/>
      </c>
      <c r="Y61" s="128" t="str">
        <f t="shared" si="1"/>
        <v/>
      </c>
      <c r="Z61" s="129" t="str">
        <f t="shared" si="52"/>
        <v/>
      </c>
      <c r="AA61" s="128" t="str">
        <f t="shared" si="3"/>
        <v/>
      </c>
      <c r="AB61" s="129" t="str">
        <f t="shared" ref="AB61:AB63" si="56">IFERROR(IF(AND(Q60="Impacto",Q61="Impacto"),(AB60-(+AB60*T61)),IF(AND(Q60="Probabilidad",Q61="Impacto"),(AB59-(+AB59*T61)),IF(Q61="Probabilidad",AB60,""))),"")</f>
        <v/>
      </c>
      <c r="AC61" s="130"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44"/>
      <c r="AE61" s="131"/>
      <c r="AF61" s="131"/>
      <c r="AG61" s="132"/>
      <c r="AH61" s="133"/>
      <c r="AI61" s="133"/>
      <c r="AJ61" s="145"/>
      <c r="AK61" s="14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row>
    <row r="62" spans="1:68" ht="151.5" hidden="1" customHeight="1" x14ac:dyDescent="0.3">
      <c r="A62" s="242"/>
      <c r="B62" s="262"/>
      <c r="C62" s="262"/>
      <c r="D62" s="262"/>
      <c r="E62" s="265"/>
      <c r="F62" s="262"/>
      <c r="G62" s="268"/>
      <c r="H62" s="259"/>
      <c r="I62" s="239"/>
      <c r="J62" s="256"/>
      <c r="K62" s="239">
        <f ca="1">IF(NOT(ISERROR(MATCH(J62,_xlfn.ANCHORARRAY(E73),0))),I75&amp;"Por favor no seleccionar los criterios de impacto",J62)</f>
        <v>0</v>
      </c>
      <c r="L62" s="259"/>
      <c r="M62" s="239"/>
      <c r="N62" s="271"/>
      <c r="O62" s="122">
        <v>5</v>
      </c>
      <c r="P62" s="123"/>
      <c r="Q62" s="124" t="str">
        <f t="shared" si="54"/>
        <v/>
      </c>
      <c r="R62" s="125"/>
      <c r="S62" s="125"/>
      <c r="T62" s="126" t="str">
        <f t="shared" si="51"/>
        <v/>
      </c>
      <c r="U62" s="125"/>
      <c r="V62" s="125"/>
      <c r="W62" s="125"/>
      <c r="X62" s="127" t="str">
        <f t="shared" si="55"/>
        <v/>
      </c>
      <c r="Y62" s="128" t="str">
        <f t="shared" si="1"/>
        <v/>
      </c>
      <c r="Z62" s="129" t="str">
        <f t="shared" si="52"/>
        <v/>
      </c>
      <c r="AA62" s="128" t="str">
        <f t="shared" si="3"/>
        <v/>
      </c>
      <c r="AB62" s="129" t="str">
        <f t="shared" si="56"/>
        <v/>
      </c>
      <c r="AC62" s="130" t="str">
        <f t="shared" ref="AC62:AC63" si="57">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44"/>
      <c r="AE62" s="131"/>
      <c r="AF62" s="131"/>
      <c r="AG62" s="132"/>
      <c r="AH62" s="133"/>
      <c r="AI62" s="133"/>
      <c r="AJ62" s="145"/>
      <c r="AK62" s="14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row>
    <row r="63" spans="1:68" ht="151.5" hidden="1" customHeight="1" x14ac:dyDescent="0.3">
      <c r="A63" s="243"/>
      <c r="B63" s="263"/>
      <c r="C63" s="263"/>
      <c r="D63" s="263"/>
      <c r="E63" s="266"/>
      <c r="F63" s="263"/>
      <c r="G63" s="269"/>
      <c r="H63" s="260"/>
      <c r="I63" s="240"/>
      <c r="J63" s="257"/>
      <c r="K63" s="240">
        <f ca="1">IF(NOT(ISERROR(MATCH(J63,_xlfn.ANCHORARRAY(E74),0))),I76&amp;"Por favor no seleccionar los criterios de impacto",J63)</f>
        <v>0</v>
      </c>
      <c r="L63" s="260"/>
      <c r="M63" s="240"/>
      <c r="N63" s="272"/>
      <c r="O63" s="122">
        <v>6</v>
      </c>
      <c r="P63" s="123"/>
      <c r="Q63" s="124" t="str">
        <f t="shared" si="54"/>
        <v/>
      </c>
      <c r="R63" s="125"/>
      <c r="S63" s="125"/>
      <c r="T63" s="126" t="str">
        <f t="shared" si="51"/>
        <v/>
      </c>
      <c r="U63" s="125"/>
      <c r="V63" s="125"/>
      <c r="W63" s="125"/>
      <c r="X63" s="127" t="str">
        <f t="shared" si="55"/>
        <v/>
      </c>
      <c r="Y63" s="128" t="str">
        <f t="shared" si="1"/>
        <v/>
      </c>
      <c r="Z63" s="129" t="str">
        <f t="shared" si="52"/>
        <v/>
      </c>
      <c r="AA63" s="128" t="str">
        <f t="shared" si="3"/>
        <v/>
      </c>
      <c r="AB63" s="129" t="str">
        <f t="shared" si="56"/>
        <v/>
      </c>
      <c r="AC63" s="130" t="str">
        <f t="shared" si="57"/>
        <v/>
      </c>
      <c r="AD63" s="144"/>
      <c r="AE63" s="131"/>
      <c r="AF63" s="131"/>
      <c r="AG63" s="132"/>
      <c r="AH63" s="133"/>
      <c r="AI63" s="133"/>
      <c r="AJ63" s="145"/>
      <c r="AK63" s="14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row>
    <row r="64" spans="1:68" ht="151.5" hidden="1" customHeight="1" x14ac:dyDescent="0.3">
      <c r="A64" s="241">
        <v>10</v>
      </c>
      <c r="B64" s="261"/>
      <c r="C64" s="261"/>
      <c r="D64" s="261"/>
      <c r="E64" s="264"/>
      <c r="F64" s="261"/>
      <c r="G64" s="267"/>
      <c r="H64" s="258" t="str">
        <f>IF(G64&lt;=0,"",IF(G64&lt;=2,"Muy Baja",IF(G64&lt;=24,"Baja",IF(G64&lt;=500,"Media",IF(G64&lt;=5000,"Alta","Muy Alta")))))</f>
        <v/>
      </c>
      <c r="I64" s="238" t="str">
        <f>IF(H64="","",IF(H64="Muy Baja",0.2,IF(H64="Baja",0.4,IF(H64="Media",0.6,IF(H64="Alta",0.8,IF(H64="Muy Alta",1,))))))</f>
        <v/>
      </c>
      <c r="J64" s="255"/>
      <c r="K64" s="238">
        <f>IF(NOT(ISERROR(MATCH(J64,'Tabla Impacto'!$B$221:$B$223,0))),'Tabla Impacto'!$F$223&amp;"Por favor no seleccionar los criterios de impacto(Afectación Económica o presupuestal y Pérdida Reputacional)",J64)</f>
        <v>0</v>
      </c>
      <c r="L64" s="258" t="str">
        <f>IF(OR(K64='Tabla Impacto'!$C$11,K64='Tabla Impacto'!$D$11),"Leve",IF(OR(K64='Tabla Impacto'!$C$12,K64='Tabla Impacto'!$D$12),"Menor",IF(OR(K64='Tabla Impacto'!$C$13,K64='Tabla Impacto'!$D$13),"Moderado",IF(OR(K64='Tabla Impacto'!$C$14,K64='Tabla Impacto'!$D$14),"Mayor",IF(OR(K64='Tabla Impacto'!$C$15,K64='Tabla Impacto'!$D$15),"Catastrófico","")))))</f>
        <v/>
      </c>
      <c r="M64" s="238" t="str">
        <f>IF(L64="","",IF(L64="Leve",0.2,IF(L64="Menor",0.4,IF(L64="Moderado",0.6,IF(L64="Mayor",0.8,IF(L64="Catastrófico",1,))))))</f>
        <v/>
      </c>
      <c r="N64" s="270"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2">
        <v>1</v>
      </c>
      <c r="P64" s="123"/>
      <c r="Q64" s="124" t="str">
        <f>IF(OR(R64="Preventivo",R64="Detectivo"),"Probabilidad",IF(R64="Correctivo","Impacto",""))</f>
        <v/>
      </c>
      <c r="R64" s="125"/>
      <c r="S64" s="125"/>
      <c r="T64" s="126" t="str">
        <f>IF(AND(R64="Preventivo",S64="Automático"),"50%",IF(AND(R64="Preventivo",S64="Manual"),"40%",IF(AND(R64="Detectivo",S64="Automático"),"40%",IF(AND(R64="Detectivo",S64="Manual"),"30%",IF(AND(R64="Correctivo",S64="Automático"),"35%",IF(AND(R64="Correctivo",S64="Manual"),"25%",""))))))</f>
        <v/>
      </c>
      <c r="U64" s="125"/>
      <c r="V64" s="125"/>
      <c r="W64" s="125"/>
      <c r="X64" s="127" t="str">
        <f>IFERROR(IF(Q64="Probabilidad",(I64-(+I64*T64)),IF(Q64="Impacto",I64,"")),"")</f>
        <v/>
      </c>
      <c r="Y64" s="128" t="str">
        <f>IFERROR(IF(X64="","",IF(X64&lt;=0.2,"Muy Baja",IF(X64&lt;=0.4,"Baja",IF(X64&lt;=0.6,"Media",IF(X64&lt;=0.8,"Alta","Muy Alta"))))),"")</f>
        <v/>
      </c>
      <c r="Z64" s="129" t="str">
        <f>+X64</f>
        <v/>
      </c>
      <c r="AA64" s="128" t="str">
        <f>IFERROR(IF(AB64="","",IF(AB64&lt;=0.2,"Leve",IF(AB64&lt;=0.4,"Menor",IF(AB64&lt;=0.6,"Moderado",IF(AB64&lt;=0.8,"Mayor","Catastrófico"))))),"")</f>
        <v/>
      </c>
      <c r="AB64" s="129" t="str">
        <f>IFERROR(IF(Q64="Impacto",(M64-(+M64*T64)),IF(Q64="Probabilidad",M64,"")),"")</f>
        <v/>
      </c>
      <c r="AC64" s="130"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44"/>
      <c r="AE64" s="131"/>
      <c r="AF64" s="131"/>
      <c r="AG64" s="132"/>
      <c r="AH64" s="133"/>
      <c r="AI64" s="133"/>
      <c r="AJ64" s="145"/>
      <c r="AK64" s="14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row>
    <row r="65" spans="1:37" ht="151.5" hidden="1" customHeight="1" x14ac:dyDescent="0.3">
      <c r="A65" s="242"/>
      <c r="B65" s="262"/>
      <c r="C65" s="262"/>
      <c r="D65" s="262"/>
      <c r="E65" s="265"/>
      <c r="F65" s="262"/>
      <c r="G65" s="268"/>
      <c r="H65" s="259"/>
      <c r="I65" s="239"/>
      <c r="J65" s="256"/>
      <c r="K65" s="239">
        <f ca="1">IF(NOT(ISERROR(MATCH(J65,_xlfn.ANCHORARRAY(E76),0))),I78&amp;"Por favor no seleccionar los criterios de impacto",J65)</f>
        <v>0</v>
      </c>
      <c r="L65" s="259"/>
      <c r="M65" s="239"/>
      <c r="N65" s="271"/>
      <c r="O65" s="122">
        <v>2</v>
      </c>
      <c r="P65" s="123"/>
      <c r="Q65" s="124" t="str">
        <f>IF(OR(R65="Preventivo",R65="Detectivo"),"Probabilidad",IF(R65="Correctivo","Impacto",""))</f>
        <v/>
      </c>
      <c r="R65" s="125"/>
      <c r="S65" s="125"/>
      <c r="T65" s="126" t="str">
        <f t="shared" ref="T65:T69" si="58">IF(AND(R65="Preventivo",S65="Automático"),"50%",IF(AND(R65="Preventivo",S65="Manual"),"40%",IF(AND(R65="Detectivo",S65="Automático"),"40%",IF(AND(R65="Detectivo",S65="Manual"),"30%",IF(AND(R65="Correctivo",S65="Automático"),"35%",IF(AND(R65="Correctivo",S65="Manual"),"25%",""))))))</f>
        <v/>
      </c>
      <c r="U65" s="125"/>
      <c r="V65" s="125"/>
      <c r="W65" s="125"/>
      <c r="X65" s="127" t="str">
        <f>IFERROR(IF(AND(Q64="Probabilidad",Q65="Probabilidad"),(Z64-(+Z64*T65)),IF(Q65="Probabilidad",(I64-(+I64*T65)),IF(Q65="Impacto",Z64,""))),"")</f>
        <v/>
      </c>
      <c r="Y65" s="128" t="str">
        <f t="shared" si="1"/>
        <v/>
      </c>
      <c r="Z65" s="129" t="str">
        <f t="shared" ref="Z65:Z69" si="59">+X65</f>
        <v/>
      </c>
      <c r="AA65" s="128" t="str">
        <f t="shared" si="3"/>
        <v/>
      </c>
      <c r="AB65" s="129" t="str">
        <f>IFERROR(IF(AND(Q64="Impacto",Q65="Impacto"),(AB64-(+AB64*T65)),IF(Q65="Impacto",(M64-(+M64*T65)),IF(Q65="Probabilidad",AB64,""))),"")</f>
        <v/>
      </c>
      <c r="AC65" s="130" t="str">
        <f t="shared" ref="AC65:AC66" si="60">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44"/>
      <c r="AE65" s="131"/>
      <c r="AF65" s="131"/>
      <c r="AG65" s="132"/>
      <c r="AH65" s="133"/>
      <c r="AI65" s="133"/>
      <c r="AJ65" s="145"/>
      <c r="AK65" s="147"/>
    </row>
    <row r="66" spans="1:37" ht="151.5" hidden="1" customHeight="1" x14ac:dyDescent="0.3">
      <c r="A66" s="242"/>
      <c r="B66" s="262"/>
      <c r="C66" s="262"/>
      <c r="D66" s="262"/>
      <c r="E66" s="265"/>
      <c r="F66" s="262"/>
      <c r="G66" s="268"/>
      <c r="H66" s="259"/>
      <c r="I66" s="239"/>
      <c r="J66" s="256"/>
      <c r="K66" s="239">
        <f ca="1">IF(NOT(ISERROR(MATCH(J66,_xlfn.ANCHORARRAY(E77),0))),I79&amp;"Por favor no seleccionar los criterios de impacto",J66)</f>
        <v>0</v>
      </c>
      <c r="L66" s="259"/>
      <c r="M66" s="239"/>
      <c r="N66" s="271"/>
      <c r="O66" s="122">
        <v>3</v>
      </c>
      <c r="P66" s="134"/>
      <c r="Q66" s="124" t="str">
        <f>IF(OR(R66="Preventivo",R66="Detectivo"),"Probabilidad",IF(R66="Correctivo","Impacto",""))</f>
        <v/>
      </c>
      <c r="R66" s="125"/>
      <c r="S66" s="125"/>
      <c r="T66" s="126" t="str">
        <f t="shared" si="58"/>
        <v/>
      </c>
      <c r="U66" s="125"/>
      <c r="V66" s="125"/>
      <c r="W66" s="125"/>
      <c r="X66" s="127" t="str">
        <f>IFERROR(IF(AND(Q65="Probabilidad",Q66="Probabilidad"),(Z65-(+Z65*T66)),IF(AND(Q65="Impacto",Q66="Probabilidad"),(Z64-(+Z64*T66)),IF(Q66="Impacto",Z65,""))),"")</f>
        <v/>
      </c>
      <c r="Y66" s="128" t="str">
        <f t="shared" si="1"/>
        <v/>
      </c>
      <c r="Z66" s="129" t="str">
        <f t="shared" si="59"/>
        <v/>
      </c>
      <c r="AA66" s="128" t="str">
        <f t="shared" si="3"/>
        <v/>
      </c>
      <c r="AB66" s="129" t="str">
        <f>IFERROR(IF(AND(Q65="Impacto",Q66="Impacto"),(AB65-(+AB65*T66)),IF(AND(Q65="Probabilidad",Q66="Impacto"),(AB64-(+AB64*T66)),IF(Q66="Probabilidad",AB65,""))),"")</f>
        <v/>
      </c>
      <c r="AC66" s="130" t="str">
        <f t="shared" si="60"/>
        <v/>
      </c>
      <c r="AD66" s="144"/>
      <c r="AE66" s="131"/>
      <c r="AF66" s="131"/>
      <c r="AG66" s="132"/>
      <c r="AH66" s="133"/>
      <c r="AI66" s="133"/>
      <c r="AJ66" s="145"/>
      <c r="AK66" s="147"/>
    </row>
    <row r="67" spans="1:37" ht="151.5" hidden="1" customHeight="1" x14ac:dyDescent="0.3">
      <c r="A67" s="242"/>
      <c r="B67" s="262"/>
      <c r="C67" s="262"/>
      <c r="D67" s="262"/>
      <c r="E67" s="265"/>
      <c r="F67" s="262"/>
      <c r="G67" s="268"/>
      <c r="H67" s="259"/>
      <c r="I67" s="239"/>
      <c r="J67" s="256"/>
      <c r="K67" s="239">
        <f ca="1">IF(NOT(ISERROR(MATCH(J67,_xlfn.ANCHORARRAY(E78),0))),I80&amp;"Por favor no seleccionar los criterios de impacto",J67)</f>
        <v>0</v>
      </c>
      <c r="L67" s="259"/>
      <c r="M67" s="239"/>
      <c r="N67" s="271"/>
      <c r="O67" s="122">
        <v>4</v>
      </c>
      <c r="P67" s="123"/>
      <c r="Q67" s="124" t="str">
        <f t="shared" ref="Q67:Q69" si="61">IF(OR(R67="Preventivo",R67="Detectivo"),"Probabilidad",IF(R67="Correctivo","Impacto",""))</f>
        <v/>
      </c>
      <c r="R67" s="125"/>
      <c r="S67" s="125"/>
      <c r="T67" s="126" t="str">
        <f t="shared" si="58"/>
        <v/>
      </c>
      <c r="U67" s="125"/>
      <c r="V67" s="125"/>
      <c r="W67" s="125"/>
      <c r="X67" s="127" t="str">
        <f t="shared" ref="X67:X69" si="62">IFERROR(IF(AND(Q66="Probabilidad",Q67="Probabilidad"),(Z66-(+Z66*T67)),IF(AND(Q66="Impacto",Q67="Probabilidad"),(Z65-(+Z65*T67)),IF(Q67="Impacto",Z66,""))),"")</f>
        <v/>
      </c>
      <c r="Y67" s="128" t="str">
        <f t="shared" si="1"/>
        <v/>
      </c>
      <c r="Z67" s="129" t="str">
        <f t="shared" si="59"/>
        <v/>
      </c>
      <c r="AA67" s="128" t="str">
        <f t="shared" si="3"/>
        <v/>
      </c>
      <c r="AB67" s="129" t="str">
        <f t="shared" ref="AB67:AB69" si="63">IFERROR(IF(AND(Q66="Impacto",Q67="Impacto"),(AB66-(+AB66*T67)),IF(AND(Q66="Probabilidad",Q67="Impacto"),(AB65-(+AB65*T67)),IF(Q67="Probabilidad",AB66,""))),"")</f>
        <v/>
      </c>
      <c r="AC67" s="130"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44"/>
      <c r="AE67" s="131"/>
      <c r="AF67" s="131"/>
      <c r="AG67" s="132"/>
      <c r="AH67" s="133"/>
      <c r="AI67" s="133"/>
      <c r="AJ67" s="145"/>
      <c r="AK67" s="147"/>
    </row>
    <row r="68" spans="1:37" ht="151.5" hidden="1" customHeight="1" x14ac:dyDescent="0.3">
      <c r="A68" s="242"/>
      <c r="B68" s="262"/>
      <c r="C68" s="262"/>
      <c r="D68" s="262"/>
      <c r="E68" s="265"/>
      <c r="F68" s="262"/>
      <c r="G68" s="268"/>
      <c r="H68" s="259"/>
      <c r="I68" s="239"/>
      <c r="J68" s="256"/>
      <c r="K68" s="239">
        <f ca="1">IF(NOT(ISERROR(MATCH(J68,_xlfn.ANCHORARRAY(E79),0))),I81&amp;"Por favor no seleccionar los criterios de impacto",J68)</f>
        <v>0</v>
      </c>
      <c r="L68" s="259"/>
      <c r="M68" s="239"/>
      <c r="N68" s="271"/>
      <c r="O68" s="122">
        <v>5</v>
      </c>
      <c r="P68" s="123"/>
      <c r="Q68" s="124" t="str">
        <f t="shared" si="61"/>
        <v/>
      </c>
      <c r="R68" s="125"/>
      <c r="S68" s="125"/>
      <c r="T68" s="126" t="str">
        <f t="shared" si="58"/>
        <v/>
      </c>
      <c r="U68" s="125"/>
      <c r="V68" s="125"/>
      <c r="W68" s="125"/>
      <c r="X68" s="127" t="str">
        <f t="shared" si="62"/>
        <v/>
      </c>
      <c r="Y68" s="128" t="str">
        <f t="shared" si="1"/>
        <v/>
      </c>
      <c r="Z68" s="129" t="str">
        <f t="shared" si="59"/>
        <v/>
      </c>
      <c r="AA68" s="128" t="str">
        <f t="shared" si="3"/>
        <v/>
      </c>
      <c r="AB68" s="129" t="str">
        <f t="shared" si="63"/>
        <v/>
      </c>
      <c r="AC68" s="130" t="str">
        <f t="shared" ref="AC68:AC69" si="64">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44"/>
      <c r="AE68" s="131"/>
      <c r="AF68" s="131"/>
      <c r="AG68" s="132"/>
      <c r="AH68" s="133"/>
      <c r="AI68" s="133"/>
      <c r="AJ68" s="145"/>
      <c r="AK68" s="147"/>
    </row>
    <row r="69" spans="1:37" hidden="1" x14ac:dyDescent="0.3">
      <c r="A69" s="243"/>
      <c r="B69" s="263"/>
      <c r="C69" s="263"/>
      <c r="D69" s="263"/>
      <c r="E69" s="266"/>
      <c r="F69" s="263"/>
      <c r="G69" s="269"/>
      <c r="H69" s="260"/>
      <c r="I69" s="240"/>
      <c r="J69" s="257"/>
      <c r="K69" s="240">
        <f ca="1">IF(NOT(ISERROR(MATCH(J69,_xlfn.ANCHORARRAY(E80),0))),I82&amp;"Por favor no seleccionar los criterios de impacto",J69)</f>
        <v>0</v>
      </c>
      <c r="L69" s="260"/>
      <c r="M69" s="240"/>
      <c r="N69" s="272"/>
      <c r="O69" s="122">
        <v>6</v>
      </c>
      <c r="P69" s="123"/>
      <c r="Q69" s="124" t="str">
        <f t="shared" si="61"/>
        <v/>
      </c>
      <c r="R69" s="125"/>
      <c r="S69" s="125"/>
      <c r="T69" s="126" t="str">
        <f t="shared" si="58"/>
        <v/>
      </c>
      <c r="U69" s="125"/>
      <c r="V69" s="125"/>
      <c r="W69" s="125"/>
      <c r="X69" s="127" t="str">
        <f t="shared" si="62"/>
        <v/>
      </c>
      <c r="Y69" s="128" t="str">
        <f t="shared" si="1"/>
        <v/>
      </c>
      <c r="Z69" s="129" t="str">
        <f t="shared" si="59"/>
        <v/>
      </c>
      <c r="AA69" s="128" t="str">
        <f t="shared" si="3"/>
        <v/>
      </c>
      <c r="AB69" s="129" t="str">
        <f t="shared" si="63"/>
        <v/>
      </c>
      <c r="AC69" s="130" t="str">
        <f t="shared" si="64"/>
        <v/>
      </c>
      <c r="AD69" s="144"/>
      <c r="AE69" s="131"/>
      <c r="AF69" s="131"/>
      <c r="AG69" s="132"/>
      <c r="AH69" s="133"/>
      <c r="AI69" s="133"/>
      <c r="AJ69" s="145"/>
      <c r="AK69" s="147"/>
    </row>
    <row r="70" spans="1:37" ht="49.5" customHeight="1" x14ac:dyDescent="0.3">
      <c r="A70" s="6"/>
      <c r="B70" s="273" t="s">
        <v>130</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5"/>
    </row>
    <row r="72" spans="1:37" x14ac:dyDescent="0.3">
      <c r="A72" s="1"/>
      <c r="B72" s="23" t="s">
        <v>142</v>
      </c>
      <c r="C72" s="1"/>
      <c r="D72" s="1"/>
      <c r="F72" s="1"/>
    </row>
  </sheetData>
  <sheetProtection algorithmName="SHA-512" hashValue="6RCSkWSfHq8LNZohK7uHKTcblzZVqELKK2CNAltvleMc5TS4Z1TZQytJU1enlpUn/J25CCjE6PrR7TUJnly/Yg==" saltValue="v2QgIAHyEC7Sa9olFql5hA==" spinCount="100000" sheet="1" objects="1" scenarios="1" selectLockedCells="1" selectUnlockedCells="1"/>
  <dataConsolidate/>
  <mergeCells count="199">
    <mergeCell ref="AO7:AQ7"/>
    <mergeCell ref="AO8:AO9"/>
    <mergeCell ref="AP8:AP9"/>
    <mergeCell ref="AQ8:AQ9"/>
    <mergeCell ref="AL8:AL9"/>
    <mergeCell ref="A1:D2"/>
    <mergeCell ref="A7:G7"/>
    <mergeCell ref="H7:N7"/>
    <mergeCell ref="O7:W7"/>
    <mergeCell ref="X7:AD7"/>
    <mergeCell ref="AE7:AK7"/>
    <mergeCell ref="A4:B4"/>
    <mergeCell ref="A5:B5"/>
    <mergeCell ref="A6:B6"/>
    <mergeCell ref="E1:AI1"/>
    <mergeCell ref="AJ1:AK1"/>
    <mergeCell ref="E2:AI2"/>
    <mergeCell ref="AJ2:AK2"/>
    <mergeCell ref="C5:AK5"/>
    <mergeCell ref="C4:AK4"/>
    <mergeCell ref="C6:AK6"/>
    <mergeCell ref="A8:A9"/>
    <mergeCell ref="F8:F9"/>
    <mergeCell ref="AD8:AD9"/>
    <mergeCell ref="B70:AK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J28:J33"/>
    <mergeCell ref="K28:K33"/>
    <mergeCell ref="L28:L33"/>
    <mergeCell ref="M28:M33"/>
    <mergeCell ref="N28:N33"/>
    <mergeCell ref="J22:J27"/>
    <mergeCell ref="K22:K27"/>
    <mergeCell ref="L22:L27"/>
    <mergeCell ref="A22:A27"/>
    <mergeCell ref="B22:B27"/>
    <mergeCell ref="C22:C27"/>
    <mergeCell ref="D22:D27"/>
    <mergeCell ref="E22:E27"/>
    <mergeCell ref="A28:A33"/>
    <mergeCell ref="B28:B33"/>
    <mergeCell ref="C28:C33"/>
    <mergeCell ref="D28:D33"/>
    <mergeCell ref="E28:E33"/>
    <mergeCell ref="F28:F33"/>
    <mergeCell ref="G28:G33"/>
    <mergeCell ref="H28:H33"/>
    <mergeCell ref="I28:I33"/>
    <mergeCell ref="H22:H27"/>
    <mergeCell ref="I22:I27"/>
    <mergeCell ref="Q8:Q9"/>
    <mergeCell ref="R8:W8"/>
    <mergeCell ref="B16:B21"/>
    <mergeCell ref="C16:C21"/>
    <mergeCell ref="F16:F21"/>
    <mergeCell ref="G16:G21"/>
    <mergeCell ref="H16:H21"/>
    <mergeCell ref="G8:G9"/>
    <mergeCell ref="H8:H9"/>
    <mergeCell ref="I8:I9"/>
    <mergeCell ref="L8:L9"/>
    <mergeCell ref="I16:I21"/>
    <mergeCell ref="J16:J21"/>
    <mergeCell ref="N16:N21"/>
    <mergeCell ref="E8:E9"/>
    <mergeCell ref="D8:D9"/>
    <mergeCell ref="C8:C9"/>
    <mergeCell ref="O8:O9"/>
    <mergeCell ref="A16:A21"/>
    <mergeCell ref="F22:F27"/>
    <mergeCell ref="G22:G27"/>
    <mergeCell ref="M22:M27"/>
    <mergeCell ref="N22:N27"/>
    <mergeCell ref="AE8:AE9"/>
    <mergeCell ref="AK8:AK9"/>
    <mergeCell ref="AJ8:AJ9"/>
    <mergeCell ref="AI8:AI9"/>
    <mergeCell ref="AH8:AH9"/>
    <mergeCell ref="AG8:AG9"/>
    <mergeCell ref="AF8:AF9"/>
    <mergeCell ref="Y8:Y9"/>
    <mergeCell ref="Z8:Z9"/>
    <mergeCell ref="M8:M9"/>
    <mergeCell ref="AC8:AC9"/>
    <mergeCell ref="AB8:AB9"/>
    <mergeCell ref="X8:X9"/>
    <mergeCell ref="P8:P9"/>
    <mergeCell ref="AA8:AA9"/>
    <mergeCell ref="B8:B9"/>
    <mergeCell ref="N8:N9"/>
    <mergeCell ref="J8:J9"/>
    <mergeCell ref="K8:K9"/>
    <mergeCell ref="AL7:AN7"/>
    <mergeCell ref="AM8:AM9"/>
    <mergeCell ref="AN8:AN9"/>
    <mergeCell ref="AN28:AN29"/>
    <mergeCell ref="P34:P37"/>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D16:D21"/>
    <mergeCell ref="E16:E21"/>
    <mergeCell ref="K16:K21"/>
    <mergeCell ref="L16:L21"/>
    <mergeCell ref="M16:M21"/>
  </mergeCells>
  <conditionalFormatting sqref="H10 H16">
    <cfRule type="cellIs" dxfId="108" priority="319" operator="equal">
      <formula>"Muy Alta"</formula>
    </cfRule>
    <cfRule type="cellIs" dxfId="107" priority="320" operator="equal">
      <formula>"Alta"</formula>
    </cfRule>
    <cfRule type="cellIs" dxfId="106" priority="321" operator="equal">
      <formula>"Media"</formula>
    </cfRule>
    <cfRule type="cellIs" dxfId="105" priority="322" operator="equal">
      <formula>"Baja"</formula>
    </cfRule>
    <cfRule type="cellIs" dxfId="104" priority="323" operator="equal">
      <formula>"Muy Baja"</formula>
    </cfRule>
  </conditionalFormatting>
  <conditionalFormatting sqref="H22">
    <cfRule type="cellIs" dxfId="103" priority="221" operator="equal">
      <formula>"Muy Alta"</formula>
    </cfRule>
    <cfRule type="cellIs" dxfId="102" priority="222" operator="equal">
      <formula>"Alta"</formula>
    </cfRule>
    <cfRule type="cellIs" dxfId="101" priority="223" operator="equal">
      <formula>"Media"</formula>
    </cfRule>
    <cfRule type="cellIs" dxfId="100" priority="224" operator="equal">
      <formula>"Baja"</formula>
    </cfRule>
    <cfRule type="cellIs" dxfId="99" priority="225" operator="equal">
      <formula>"Muy Baja"</formula>
    </cfRule>
  </conditionalFormatting>
  <conditionalFormatting sqref="H28">
    <cfRule type="cellIs" dxfId="98" priority="193" operator="equal">
      <formula>"Muy Alta"</formula>
    </cfRule>
    <cfRule type="cellIs" dxfId="97" priority="194" operator="equal">
      <formula>"Alta"</formula>
    </cfRule>
    <cfRule type="cellIs" dxfId="96" priority="195" operator="equal">
      <formula>"Media"</formula>
    </cfRule>
    <cfRule type="cellIs" dxfId="95" priority="196" operator="equal">
      <formula>"Baja"</formula>
    </cfRule>
    <cfRule type="cellIs" dxfId="94" priority="197" operator="equal">
      <formula>"Muy Baja"</formula>
    </cfRule>
  </conditionalFormatting>
  <conditionalFormatting sqref="H34">
    <cfRule type="cellIs" dxfId="93" priority="165" operator="equal">
      <formula>"Muy Alta"</formula>
    </cfRule>
    <cfRule type="cellIs" dxfId="92" priority="166" operator="equal">
      <formula>"Alta"</formula>
    </cfRule>
    <cfRule type="cellIs" dxfId="91" priority="167" operator="equal">
      <formula>"Media"</formula>
    </cfRule>
    <cfRule type="cellIs" dxfId="90" priority="168" operator="equal">
      <formula>"Baja"</formula>
    </cfRule>
    <cfRule type="cellIs" dxfId="89" priority="169" operator="equal">
      <formula>"Muy Baja"</formula>
    </cfRule>
  </conditionalFormatting>
  <conditionalFormatting sqref="H40">
    <cfRule type="cellIs" dxfId="88" priority="137" operator="equal">
      <formula>"Muy Alta"</formula>
    </cfRule>
    <cfRule type="cellIs" dxfId="87" priority="138" operator="equal">
      <formula>"Alta"</formula>
    </cfRule>
    <cfRule type="cellIs" dxfId="86" priority="139" operator="equal">
      <formula>"Media"</formula>
    </cfRule>
    <cfRule type="cellIs" dxfId="85" priority="140" operator="equal">
      <formula>"Baja"</formula>
    </cfRule>
    <cfRule type="cellIs" dxfId="84" priority="141" operator="equal">
      <formula>"Muy Baja"</formula>
    </cfRule>
  </conditionalFormatting>
  <conditionalFormatting sqref="H46">
    <cfRule type="cellIs" dxfId="83" priority="109" operator="equal">
      <formula>"Muy Alta"</formula>
    </cfRule>
    <cfRule type="cellIs" dxfId="82" priority="110" operator="equal">
      <formula>"Alta"</formula>
    </cfRule>
    <cfRule type="cellIs" dxfId="81" priority="111" operator="equal">
      <formula>"Media"</formula>
    </cfRule>
    <cfRule type="cellIs" dxfId="80" priority="112" operator="equal">
      <formula>"Baja"</formula>
    </cfRule>
    <cfRule type="cellIs" dxfId="79" priority="113" operator="equal">
      <formula>"Muy Baja"</formula>
    </cfRule>
  </conditionalFormatting>
  <conditionalFormatting sqref="H52">
    <cfRule type="cellIs" dxfId="78" priority="81" operator="equal">
      <formula>"Muy Alta"</formula>
    </cfRule>
    <cfRule type="cellIs" dxfId="77" priority="82" operator="equal">
      <formula>"Alta"</formula>
    </cfRule>
    <cfRule type="cellIs" dxfId="76" priority="83" operator="equal">
      <formula>"Media"</formula>
    </cfRule>
    <cfRule type="cellIs" dxfId="75" priority="84" operator="equal">
      <formula>"Baja"</formula>
    </cfRule>
    <cfRule type="cellIs" dxfId="74" priority="85" operator="equal">
      <formula>"Muy Baja"</formula>
    </cfRule>
  </conditionalFormatting>
  <conditionalFormatting sqref="H58">
    <cfRule type="cellIs" dxfId="73" priority="53" operator="equal">
      <formula>"Muy Alta"</formula>
    </cfRule>
    <cfRule type="cellIs" dxfId="72" priority="54" operator="equal">
      <formula>"Alta"</formula>
    </cfRule>
    <cfRule type="cellIs" dxfId="71" priority="55" operator="equal">
      <formula>"Media"</formula>
    </cfRule>
    <cfRule type="cellIs" dxfId="70" priority="56" operator="equal">
      <formula>"Baja"</formula>
    </cfRule>
    <cfRule type="cellIs" dxfId="69" priority="57" operator="equal">
      <formula>"Muy Baja"</formula>
    </cfRule>
  </conditionalFormatting>
  <conditionalFormatting sqref="H64">
    <cfRule type="cellIs" dxfId="68" priority="25" operator="equal">
      <formula>"Muy Alta"</formula>
    </cfRule>
    <cfRule type="cellIs" dxfId="67" priority="26" operator="equal">
      <formula>"Alta"</formula>
    </cfRule>
    <cfRule type="cellIs" dxfId="66" priority="27" operator="equal">
      <formula>"Media"</formula>
    </cfRule>
    <cfRule type="cellIs" dxfId="65" priority="28" operator="equal">
      <formula>"Baja"</formula>
    </cfRule>
    <cfRule type="cellIs" dxfId="64" priority="29" operator="equal">
      <formula>"Muy Baja"</formula>
    </cfRule>
  </conditionalFormatting>
  <conditionalFormatting sqref="K10:K69">
    <cfRule type="containsText" dxfId="63" priority="1" operator="containsText" text="❌">
      <formula>NOT(ISERROR(SEARCH("❌",K10)))</formula>
    </cfRule>
  </conditionalFormatting>
  <conditionalFormatting sqref="L10 L16 L22 L28 L34 L40 L46 L52 L58 L64">
    <cfRule type="cellIs" dxfId="62" priority="314" operator="equal">
      <formula>"Catastrófico"</formula>
    </cfRule>
    <cfRule type="cellIs" dxfId="61" priority="315" operator="equal">
      <formula>"Mayor"</formula>
    </cfRule>
    <cfRule type="cellIs" dxfId="60" priority="316" operator="equal">
      <formula>"Moderado"</formula>
    </cfRule>
    <cfRule type="cellIs" dxfId="59" priority="317" operator="equal">
      <formula>"Menor"</formula>
    </cfRule>
    <cfRule type="cellIs" dxfId="58" priority="318" operator="equal">
      <formula>"Leve"</formula>
    </cfRule>
  </conditionalFormatting>
  <conditionalFormatting sqref="N10">
    <cfRule type="cellIs" dxfId="57" priority="310" operator="equal">
      <formula>"Extremo"</formula>
    </cfRule>
    <cfRule type="cellIs" dxfId="56" priority="311" operator="equal">
      <formula>"Alto"</formula>
    </cfRule>
    <cfRule type="cellIs" dxfId="55" priority="312" operator="equal">
      <formula>"Moderado"</formula>
    </cfRule>
    <cfRule type="cellIs" dxfId="54" priority="313" operator="equal">
      <formula>"Bajo"</formula>
    </cfRule>
  </conditionalFormatting>
  <conditionalFormatting sqref="N16">
    <cfRule type="cellIs" dxfId="53" priority="240" operator="equal">
      <formula>"Extremo"</formula>
    </cfRule>
    <cfRule type="cellIs" dxfId="52" priority="241" operator="equal">
      <formula>"Alto"</formula>
    </cfRule>
    <cfRule type="cellIs" dxfId="51" priority="242" operator="equal">
      <formula>"Moderado"</formula>
    </cfRule>
    <cfRule type="cellIs" dxfId="50" priority="243" operator="equal">
      <formula>"Bajo"</formula>
    </cfRule>
  </conditionalFormatting>
  <conditionalFormatting sqref="N22">
    <cfRule type="cellIs" dxfId="49" priority="212" operator="equal">
      <formula>"Extremo"</formula>
    </cfRule>
    <cfRule type="cellIs" dxfId="48" priority="213" operator="equal">
      <formula>"Alto"</formula>
    </cfRule>
    <cfRule type="cellIs" dxfId="47" priority="214" operator="equal">
      <formula>"Moderado"</formula>
    </cfRule>
    <cfRule type="cellIs" dxfId="46" priority="215" operator="equal">
      <formula>"Bajo"</formula>
    </cfRule>
  </conditionalFormatting>
  <conditionalFormatting sqref="N28">
    <cfRule type="cellIs" dxfId="45" priority="184" operator="equal">
      <formula>"Extremo"</formula>
    </cfRule>
    <cfRule type="cellIs" dxfId="44" priority="185" operator="equal">
      <formula>"Alto"</formula>
    </cfRule>
    <cfRule type="cellIs" dxfId="43" priority="186" operator="equal">
      <formula>"Moderado"</formula>
    </cfRule>
    <cfRule type="cellIs" dxfId="42" priority="187" operator="equal">
      <formula>"Bajo"</formula>
    </cfRule>
  </conditionalFormatting>
  <conditionalFormatting sqref="N34">
    <cfRule type="cellIs" dxfId="41" priority="156" operator="equal">
      <formula>"Extremo"</formula>
    </cfRule>
    <cfRule type="cellIs" dxfId="40" priority="157" operator="equal">
      <formula>"Alto"</formula>
    </cfRule>
    <cfRule type="cellIs" dxfId="39" priority="158" operator="equal">
      <formula>"Moderado"</formula>
    </cfRule>
    <cfRule type="cellIs" dxfId="38" priority="159" operator="equal">
      <formula>"Bajo"</formula>
    </cfRule>
  </conditionalFormatting>
  <conditionalFormatting sqref="N40">
    <cfRule type="cellIs" dxfId="37" priority="128" operator="equal">
      <formula>"Extremo"</formula>
    </cfRule>
    <cfRule type="cellIs" dxfId="36" priority="129" operator="equal">
      <formula>"Alto"</formula>
    </cfRule>
    <cfRule type="cellIs" dxfId="35" priority="130" operator="equal">
      <formula>"Moderado"</formula>
    </cfRule>
    <cfRule type="cellIs" dxfId="34" priority="131" operator="equal">
      <formula>"Bajo"</formula>
    </cfRule>
  </conditionalFormatting>
  <conditionalFormatting sqref="N46">
    <cfRule type="cellIs" dxfId="33" priority="100" operator="equal">
      <formula>"Extremo"</formula>
    </cfRule>
    <cfRule type="cellIs" dxfId="32" priority="101" operator="equal">
      <formula>"Alto"</formula>
    </cfRule>
    <cfRule type="cellIs" dxfId="31" priority="102" operator="equal">
      <formula>"Moderado"</formula>
    </cfRule>
    <cfRule type="cellIs" dxfId="30" priority="103" operator="equal">
      <formula>"Bajo"</formula>
    </cfRule>
  </conditionalFormatting>
  <conditionalFormatting sqref="N52">
    <cfRule type="cellIs" dxfId="29" priority="72" operator="equal">
      <formula>"Extremo"</formula>
    </cfRule>
    <cfRule type="cellIs" dxfId="28" priority="73" operator="equal">
      <formula>"Alto"</formula>
    </cfRule>
    <cfRule type="cellIs" dxfId="27" priority="74" operator="equal">
      <formula>"Moderado"</formula>
    </cfRule>
    <cfRule type="cellIs" dxfId="26" priority="75" operator="equal">
      <formula>"Bajo"</formula>
    </cfRule>
  </conditionalFormatting>
  <conditionalFormatting sqref="N58">
    <cfRule type="cellIs" dxfId="25" priority="44" operator="equal">
      <formula>"Extremo"</formula>
    </cfRule>
    <cfRule type="cellIs" dxfId="24" priority="45" operator="equal">
      <formula>"Alto"</formula>
    </cfRule>
    <cfRule type="cellIs" dxfId="23" priority="46" operator="equal">
      <formula>"Moderado"</formula>
    </cfRule>
    <cfRule type="cellIs" dxfId="22" priority="47" operator="equal">
      <formula>"Bajo"</formula>
    </cfRule>
  </conditionalFormatting>
  <conditionalFormatting sqref="N64">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Y10:Y69">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0:AA69">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0:AC69">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295" t="s">
        <v>159</v>
      </c>
      <c r="C2" s="295"/>
      <c r="D2" s="295"/>
      <c r="E2" s="295"/>
      <c r="F2" s="295"/>
      <c r="G2" s="295"/>
      <c r="H2" s="295"/>
      <c r="I2" s="295"/>
      <c r="J2" s="332" t="s">
        <v>2</v>
      </c>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295"/>
      <c r="C3" s="295"/>
      <c r="D3" s="295"/>
      <c r="E3" s="295"/>
      <c r="F3" s="295"/>
      <c r="G3" s="295"/>
      <c r="H3" s="295"/>
      <c r="I3" s="295"/>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295"/>
      <c r="C4" s="295"/>
      <c r="D4" s="295"/>
      <c r="E4" s="295"/>
      <c r="F4" s="295"/>
      <c r="G4" s="295"/>
      <c r="H4" s="295"/>
      <c r="I4" s="295"/>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343" t="s">
        <v>4</v>
      </c>
      <c r="C6" s="343"/>
      <c r="D6" s="344"/>
      <c r="E6" s="333" t="s">
        <v>115</v>
      </c>
      <c r="F6" s="334"/>
      <c r="G6" s="334"/>
      <c r="H6" s="334"/>
      <c r="I6" s="335"/>
      <c r="J6" s="329" t="str">
        <f>IF(AND('Mapa final'!$H$10="Muy Alta",'Mapa final'!$L$10="Leve"),CONCATENATE("R",'Mapa final'!$A$10),"")</f>
        <v/>
      </c>
      <c r="K6" s="330"/>
      <c r="L6" s="330" t="str">
        <f>IF(AND('Mapa final'!$H$16="Muy Alta",'Mapa final'!$L$16="Leve"),CONCATENATE("R",'Mapa final'!$A$16),"")</f>
        <v/>
      </c>
      <c r="M6" s="330"/>
      <c r="N6" s="330" t="str">
        <f>IF(AND('Mapa final'!$H$22="Muy Alta",'Mapa final'!$L$22="Leve"),CONCATENATE("R",'Mapa final'!$A$22),"")</f>
        <v/>
      </c>
      <c r="O6" s="331"/>
      <c r="P6" s="329" t="str">
        <f>IF(AND('Mapa final'!$H$10="Muy Alta",'Mapa final'!$L$10="Menor"),CONCATENATE("R",'Mapa final'!$A$10),"")</f>
        <v/>
      </c>
      <c r="Q6" s="330"/>
      <c r="R6" s="330" t="str">
        <f>IF(AND('Mapa final'!$H$16="Muy Alta",'Mapa final'!$L$16="Menor"),CONCATENATE("R",'Mapa final'!$A$16),"")</f>
        <v/>
      </c>
      <c r="S6" s="330"/>
      <c r="T6" s="330" t="str">
        <f>IF(AND('Mapa final'!$H$22="Muy Alta",'Mapa final'!$L$22="Menor"),CONCATENATE("R",'Mapa final'!$A$22),"")</f>
        <v/>
      </c>
      <c r="U6" s="331"/>
      <c r="V6" s="329" t="str">
        <f>IF(AND('Mapa final'!$H$10="Muy Alta",'Mapa final'!$L$10="Moderado"),CONCATENATE("R",'Mapa final'!$A$10),"")</f>
        <v/>
      </c>
      <c r="W6" s="330"/>
      <c r="X6" s="330" t="str">
        <f>IF(AND('Mapa final'!$H$16="Muy Alta",'Mapa final'!$L$16="Moderado"),CONCATENATE("R",'Mapa final'!$A$16),"")</f>
        <v/>
      </c>
      <c r="Y6" s="330"/>
      <c r="Z6" s="330" t="str">
        <f>IF(AND('Mapa final'!$H$22="Muy Alta",'Mapa final'!$L$22="Moderado"),CONCATENATE("R",'Mapa final'!$A$22),"")</f>
        <v/>
      </c>
      <c r="AA6" s="331"/>
      <c r="AB6" s="329" t="str">
        <f>IF(AND('Mapa final'!$H$10="Muy Alta",'Mapa final'!$L$10="Mayor"),CONCATENATE("R",'Mapa final'!$A$10),"")</f>
        <v/>
      </c>
      <c r="AC6" s="330"/>
      <c r="AD6" s="330" t="str">
        <f>IF(AND('Mapa final'!$H$16="Muy Alta",'Mapa final'!$L$16="Mayor"),CONCATENATE("R",'Mapa final'!$A$16),"")</f>
        <v/>
      </c>
      <c r="AE6" s="330"/>
      <c r="AF6" s="330" t="str">
        <f>IF(AND('Mapa final'!$H$22="Muy Alta",'Mapa final'!$L$22="Mayor"),CONCATENATE("R",'Mapa final'!$A$22),"")</f>
        <v/>
      </c>
      <c r="AG6" s="331"/>
      <c r="AH6" s="320" t="str">
        <f>IF(AND('Mapa final'!$H$10="Muy Alta",'Mapa final'!$L$10="Catastrófico"),CONCATENATE("R",'Mapa final'!$A$10),"")</f>
        <v/>
      </c>
      <c r="AI6" s="321"/>
      <c r="AJ6" s="321" t="str">
        <f>IF(AND('Mapa final'!$H$16="Muy Alta",'Mapa final'!$L$16="Catastrófico"),CONCATENATE("R",'Mapa final'!$A$16),"")</f>
        <v/>
      </c>
      <c r="AK6" s="321"/>
      <c r="AL6" s="321" t="str">
        <f>IF(AND('Mapa final'!$H$22="Muy Alta",'Mapa final'!$L$22="Catastrófico"),CONCATENATE("R",'Mapa final'!$A$22),"")</f>
        <v/>
      </c>
      <c r="AM6" s="322"/>
      <c r="AO6" s="345" t="s">
        <v>78</v>
      </c>
      <c r="AP6" s="346"/>
      <c r="AQ6" s="346"/>
      <c r="AR6" s="346"/>
      <c r="AS6" s="346"/>
      <c r="AT6" s="347"/>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343"/>
      <c r="C7" s="343"/>
      <c r="D7" s="344"/>
      <c r="E7" s="336"/>
      <c r="F7" s="337"/>
      <c r="G7" s="337"/>
      <c r="H7" s="337"/>
      <c r="I7" s="338"/>
      <c r="J7" s="323"/>
      <c r="K7" s="324"/>
      <c r="L7" s="324"/>
      <c r="M7" s="324"/>
      <c r="N7" s="324"/>
      <c r="O7" s="325"/>
      <c r="P7" s="323"/>
      <c r="Q7" s="324"/>
      <c r="R7" s="324"/>
      <c r="S7" s="324"/>
      <c r="T7" s="324"/>
      <c r="U7" s="325"/>
      <c r="V7" s="323"/>
      <c r="W7" s="324"/>
      <c r="X7" s="324"/>
      <c r="Y7" s="324"/>
      <c r="Z7" s="324"/>
      <c r="AA7" s="325"/>
      <c r="AB7" s="323"/>
      <c r="AC7" s="324"/>
      <c r="AD7" s="324"/>
      <c r="AE7" s="324"/>
      <c r="AF7" s="324"/>
      <c r="AG7" s="325"/>
      <c r="AH7" s="314"/>
      <c r="AI7" s="315"/>
      <c r="AJ7" s="315"/>
      <c r="AK7" s="315"/>
      <c r="AL7" s="315"/>
      <c r="AM7" s="316"/>
      <c r="AN7" s="82"/>
      <c r="AO7" s="348"/>
      <c r="AP7" s="349"/>
      <c r="AQ7" s="349"/>
      <c r="AR7" s="349"/>
      <c r="AS7" s="349"/>
      <c r="AT7" s="350"/>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343"/>
      <c r="C8" s="343"/>
      <c r="D8" s="344"/>
      <c r="E8" s="336"/>
      <c r="F8" s="337"/>
      <c r="G8" s="337"/>
      <c r="H8" s="337"/>
      <c r="I8" s="338"/>
      <c r="J8" s="323" t="str">
        <f>IF(AND('Mapa final'!$H$28="Muy Alta",'Mapa final'!$L$28="Leve"),CONCATENATE("R",'Mapa final'!$A$28),"")</f>
        <v/>
      </c>
      <c r="K8" s="324"/>
      <c r="L8" s="324" t="str">
        <f>IF(AND('Mapa final'!$H$34="Muy Alta",'Mapa final'!$L$34="Leve"),CONCATENATE("R",'Mapa final'!$A$34),"")</f>
        <v/>
      </c>
      <c r="M8" s="324"/>
      <c r="N8" s="324" t="str">
        <f>IF(AND('Mapa final'!$H$40="Muy Alta",'Mapa final'!$L$40="Leve"),CONCATENATE("R",'Mapa final'!$A$40),"")</f>
        <v/>
      </c>
      <c r="O8" s="325"/>
      <c r="P8" s="323" t="str">
        <f>IF(AND('Mapa final'!$H$28="Muy Alta",'Mapa final'!$L$28="Menor"),CONCATENATE("R",'Mapa final'!$A$28),"")</f>
        <v/>
      </c>
      <c r="Q8" s="324"/>
      <c r="R8" s="324" t="str">
        <f>IF(AND('Mapa final'!$H$34="Muy Alta",'Mapa final'!$L$34="Menor"),CONCATENATE("R",'Mapa final'!$A$34),"")</f>
        <v/>
      </c>
      <c r="S8" s="324"/>
      <c r="T8" s="324" t="str">
        <f>IF(AND('Mapa final'!$H$40="Muy Alta",'Mapa final'!$L$40="Menor"),CONCATENATE("R",'Mapa final'!$A$40),"")</f>
        <v/>
      </c>
      <c r="U8" s="325"/>
      <c r="V8" s="323" t="str">
        <f>IF(AND('Mapa final'!$H$28="Muy Alta",'Mapa final'!$L$28="Moderado"),CONCATENATE("R",'Mapa final'!$A$28),"")</f>
        <v/>
      </c>
      <c r="W8" s="324"/>
      <c r="X8" s="324" t="str">
        <f>IF(AND('Mapa final'!$H$34="Muy Alta",'Mapa final'!$L$34="Moderado"),CONCATENATE("R",'Mapa final'!$A$34),"")</f>
        <v/>
      </c>
      <c r="Y8" s="324"/>
      <c r="Z8" s="324" t="str">
        <f>IF(AND('Mapa final'!$H$40="Muy Alta",'Mapa final'!$L$40="Moderado"),CONCATENATE("R",'Mapa final'!$A$40),"")</f>
        <v/>
      </c>
      <c r="AA8" s="325"/>
      <c r="AB8" s="323" t="str">
        <f>IF(AND('Mapa final'!$H$28="Muy Alta",'Mapa final'!$L$28="Mayor"),CONCATENATE("R",'Mapa final'!$A$28),"")</f>
        <v/>
      </c>
      <c r="AC8" s="324"/>
      <c r="AD8" s="324" t="str">
        <f>IF(AND('Mapa final'!$H$34="Muy Alta",'Mapa final'!$L$34="Mayor"),CONCATENATE("R",'Mapa final'!$A$34),"")</f>
        <v/>
      </c>
      <c r="AE8" s="324"/>
      <c r="AF8" s="324" t="str">
        <f>IF(AND('Mapa final'!$H$40="Muy Alta",'Mapa final'!$L$40="Mayor"),CONCATENATE("R",'Mapa final'!$A$40),"")</f>
        <v/>
      </c>
      <c r="AG8" s="325"/>
      <c r="AH8" s="314" t="str">
        <f>IF(AND('Mapa final'!$H$28="Muy Alta",'Mapa final'!$L$28="Catastrófico"),CONCATENATE("R",'Mapa final'!$A$28),"")</f>
        <v/>
      </c>
      <c r="AI8" s="315"/>
      <c r="AJ8" s="315" t="str">
        <f>IF(AND('Mapa final'!$H$34="Muy Alta",'Mapa final'!$L$34="Catastrófico"),CONCATENATE("R",'Mapa final'!$A$34),"")</f>
        <v/>
      </c>
      <c r="AK8" s="315"/>
      <c r="AL8" s="315" t="str">
        <f>IF(AND('Mapa final'!$H$40="Muy Alta",'Mapa final'!$L$40="Catastrófico"),CONCATENATE("R",'Mapa final'!$A$40),"")</f>
        <v/>
      </c>
      <c r="AM8" s="316"/>
      <c r="AN8" s="82"/>
      <c r="AO8" s="348"/>
      <c r="AP8" s="349"/>
      <c r="AQ8" s="349"/>
      <c r="AR8" s="349"/>
      <c r="AS8" s="349"/>
      <c r="AT8" s="350"/>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343"/>
      <c r="C9" s="343"/>
      <c r="D9" s="344"/>
      <c r="E9" s="336"/>
      <c r="F9" s="337"/>
      <c r="G9" s="337"/>
      <c r="H9" s="337"/>
      <c r="I9" s="338"/>
      <c r="J9" s="323"/>
      <c r="K9" s="324"/>
      <c r="L9" s="324"/>
      <c r="M9" s="324"/>
      <c r="N9" s="324"/>
      <c r="O9" s="325"/>
      <c r="P9" s="323"/>
      <c r="Q9" s="324"/>
      <c r="R9" s="324"/>
      <c r="S9" s="324"/>
      <c r="T9" s="324"/>
      <c r="U9" s="325"/>
      <c r="V9" s="323"/>
      <c r="W9" s="324"/>
      <c r="X9" s="324"/>
      <c r="Y9" s="324"/>
      <c r="Z9" s="324"/>
      <c r="AA9" s="325"/>
      <c r="AB9" s="323"/>
      <c r="AC9" s="324"/>
      <c r="AD9" s="324"/>
      <c r="AE9" s="324"/>
      <c r="AF9" s="324"/>
      <c r="AG9" s="325"/>
      <c r="AH9" s="314"/>
      <c r="AI9" s="315"/>
      <c r="AJ9" s="315"/>
      <c r="AK9" s="315"/>
      <c r="AL9" s="315"/>
      <c r="AM9" s="316"/>
      <c r="AN9" s="82"/>
      <c r="AO9" s="348"/>
      <c r="AP9" s="349"/>
      <c r="AQ9" s="349"/>
      <c r="AR9" s="349"/>
      <c r="AS9" s="349"/>
      <c r="AT9" s="350"/>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343"/>
      <c r="C10" s="343"/>
      <c r="D10" s="344"/>
      <c r="E10" s="336"/>
      <c r="F10" s="337"/>
      <c r="G10" s="337"/>
      <c r="H10" s="337"/>
      <c r="I10" s="338"/>
      <c r="J10" s="323" t="str">
        <f>IF(AND('Mapa final'!$H$46="Muy Alta",'Mapa final'!$L$46="Leve"),CONCATENATE("R",'Mapa final'!$A$46),"")</f>
        <v/>
      </c>
      <c r="K10" s="324"/>
      <c r="L10" s="324" t="str">
        <f>IF(AND('Mapa final'!$H$52="Muy Alta",'Mapa final'!$L$52="Leve"),CONCATENATE("R",'Mapa final'!$A$52),"")</f>
        <v/>
      </c>
      <c r="M10" s="324"/>
      <c r="N10" s="324" t="str">
        <f>IF(AND('Mapa final'!$H$58="Muy Alta",'Mapa final'!$L$58="Leve"),CONCATENATE("R",'Mapa final'!$A$58),"")</f>
        <v/>
      </c>
      <c r="O10" s="325"/>
      <c r="P10" s="323" t="str">
        <f>IF(AND('Mapa final'!$H$46="Muy Alta",'Mapa final'!$L$46="Menor"),CONCATENATE("R",'Mapa final'!$A$46),"")</f>
        <v/>
      </c>
      <c r="Q10" s="324"/>
      <c r="R10" s="324" t="str">
        <f>IF(AND('Mapa final'!$H$52="Muy Alta",'Mapa final'!$L$52="Menor"),CONCATENATE("R",'Mapa final'!$A$52),"")</f>
        <v/>
      </c>
      <c r="S10" s="324"/>
      <c r="T10" s="324" t="str">
        <f>IF(AND('Mapa final'!$H$58="Muy Alta",'Mapa final'!$L$58="Menor"),CONCATENATE("R",'Mapa final'!$A$58),"")</f>
        <v/>
      </c>
      <c r="U10" s="325"/>
      <c r="V10" s="323" t="str">
        <f>IF(AND('Mapa final'!$H$46="Muy Alta",'Mapa final'!$L$46="Moderado"),CONCATENATE("R",'Mapa final'!$A$46),"")</f>
        <v/>
      </c>
      <c r="W10" s="324"/>
      <c r="X10" s="324" t="str">
        <f>IF(AND('Mapa final'!$H$52="Muy Alta",'Mapa final'!$L$52="Moderado"),CONCATENATE("R",'Mapa final'!$A$52),"")</f>
        <v/>
      </c>
      <c r="Y10" s="324"/>
      <c r="Z10" s="324" t="str">
        <f>IF(AND('Mapa final'!$H$58="Muy Alta",'Mapa final'!$L$58="Moderado"),CONCATENATE("R",'Mapa final'!$A$58),"")</f>
        <v/>
      </c>
      <c r="AA10" s="325"/>
      <c r="AB10" s="323" t="str">
        <f>IF(AND('Mapa final'!$H$46="Muy Alta",'Mapa final'!$L$46="Mayor"),CONCATENATE("R",'Mapa final'!$A$46),"")</f>
        <v/>
      </c>
      <c r="AC10" s="324"/>
      <c r="AD10" s="324" t="str">
        <f>IF(AND('Mapa final'!$H$52="Muy Alta",'Mapa final'!$L$52="Mayor"),CONCATENATE("R",'Mapa final'!$A$52),"")</f>
        <v/>
      </c>
      <c r="AE10" s="324"/>
      <c r="AF10" s="324" t="str">
        <f>IF(AND('Mapa final'!$H$58="Muy Alta",'Mapa final'!$L$58="Mayor"),CONCATENATE("R",'Mapa final'!$A$58),"")</f>
        <v/>
      </c>
      <c r="AG10" s="325"/>
      <c r="AH10" s="314" t="str">
        <f>IF(AND('Mapa final'!$H$46="Muy Alta",'Mapa final'!$L$46="Catastrófico"),CONCATENATE("R",'Mapa final'!$A$46),"")</f>
        <v/>
      </c>
      <c r="AI10" s="315"/>
      <c r="AJ10" s="315" t="str">
        <f>IF(AND('Mapa final'!$H$52="Muy Alta",'Mapa final'!$L$52="Catastrófico"),CONCATENATE("R",'Mapa final'!$A$52),"")</f>
        <v/>
      </c>
      <c r="AK10" s="315"/>
      <c r="AL10" s="315" t="str">
        <f>IF(AND('Mapa final'!$H$58="Muy Alta",'Mapa final'!$L$58="Catastrófico"),CONCATENATE("R",'Mapa final'!$A$58),"")</f>
        <v/>
      </c>
      <c r="AM10" s="316"/>
      <c r="AN10" s="82"/>
      <c r="AO10" s="348"/>
      <c r="AP10" s="349"/>
      <c r="AQ10" s="349"/>
      <c r="AR10" s="349"/>
      <c r="AS10" s="349"/>
      <c r="AT10" s="350"/>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343"/>
      <c r="C11" s="343"/>
      <c r="D11" s="344"/>
      <c r="E11" s="336"/>
      <c r="F11" s="337"/>
      <c r="G11" s="337"/>
      <c r="H11" s="337"/>
      <c r="I11" s="338"/>
      <c r="J11" s="323"/>
      <c r="K11" s="324"/>
      <c r="L11" s="324"/>
      <c r="M11" s="324"/>
      <c r="N11" s="324"/>
      <c r="O11" s="325"/>
      <c r="P11" s="323"/>
      <c r="Q11" s="324"/>
      <c r="R11" s="324"/>
      <c r="S11" s="324"/>
      <c r="T11" s="324"/>
      <c r="U11" s="325"/>
      <c r="V11" s="323"/>
      <c r="W11" s="324"/>
      <c r="X11" s="324"/>
      <c r="Y11" s="324"/>
      <c r="Z11" s="324"/>
      <c r="AA11" s="325"/>
      <c r="AB11" s="323"/>
      <c r="AC11" s="324"/>
      <c r="AD11" s="324"/>
      <c r="AE11" s="324"/>
      <c r="AF11" s="324"/>
      <c r="AG11" s="325"/>
      <c r="AH11" s="314"/>
      <c r="AI11" s="315"/>
      <c r="AJ11" s="315"/>
      <c r="AK11" s="315"/>
      <c r="AL11" s="315"/>
      <c r="AM11" s="316"/>
      <c r="AN11" s="82"/>
      <c r="AO11" s="348"/>
      <c r="AP11" s="349"/>
      <c r="AQ11" s="349"/>
      <c r="AR11" s="349"/>
      <c r="AS11" s="349"/>
      <c r="AT11" s="350"/>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343"/>
      <c r="C12" s="343"/>
      <c r="D12" s="344"/>
      <c r="E12" s="336"/>
      <c r="F12" s="337"/>
      <c r="G12" s="337"/>
      <c r="H12" s="337"/>
      <c r="I12" s="338"/>
      <c r="J12" s="323" t="str">
        <f>IF(AND('Mapa final'!$H$64="Muy Alta",'Mapa final'!$L$64="Leve"),CONCATENATE("R",'Mapa final'!$A$64),"")</f>
        <v/>
      </c>
      <c r="K12" s="324"/>
      <c r="L12" s="324" t="str">
        <f>IF(AND('Mapa final'!$H$70="Muy Alta",'Mapa final'!$L$70="Leve"),CONCATENATE("R",'Mapa final'!$A$70),"")</f>
        <v/>
      </c>
      <c r="M12" s="324"/>
      <c r="N12" s="324" t="str">
        <f>IF(AND('Mapa final'!$H$76="Muy Alta",'Mapa final'!$L$76="Leve"),CONCATENATE("R",'Mapa final'!$A$76),"")</f>
        <v/>
      </c>
      <c r="O12" s="325"/>
      <c r="P12" s="323" t="str">
        <f>IF(AND('Mapa final'!$H$64="Muy Alta",'Mapa final'!$L$64="Menor"),CONCATENATE("R",'Mapa final'!$A$64),"")</f>
        <v/>
      </c>
      <c r="Q12" s="324"/>
      <c r="R12" s="324" t="str">
        <f>IF(AND('Mapa final'!$H$70="Muy Alta",'Mapa final'!$L$70="Menor"),CONCATENATE("R",'Mapa final'!$A$70),"")</f>
        <v/>
      </c>
      <c r="S12" s="324"/>
      <c r="T12" s="324" t="str">
        <f>IF(AND('Mapa final'!$H$76="Muy Alta",'Mapa final'!$L$76="Menor"),CONCATENATE("R",'Mapa final'!$A$76),"")</f>
        <v/>
      </c>
      <c r="U12" s="325"/>
      <c r="V12" s="323" t="str">
        <f>IF(AND('Mapa final'!$H$64="Muy Alta",'Mapa final'!$L$64="Moderado"),CONCATENATE("R",'Mapa final'!$A$64),"")</f>
        <v/>
      </c>
      <c r="W12" s="324"/>
      <c r="X12" s="324" t="str">
        <f>IF(AND('Mapa final'!$H$70="Muy Alta",'Mapa final'!$L$70="Moderado"),CONCATENATE("R",'Mapa final'!$A$70),"")</f>
        <v/>
      </c>
      <c r="Y12" s="324"/>
      <c r="Z12" s="324" t="str">
        <f>IF(AND('Mapa final'!$H$76="Muy Alta",'Mapa final'!$L$76="Moderado"),CONCATENATE("R",'Mapa final'!$A$76),"")</f>
        <v/>
      </c>
      <c r="AA12" s="325"/>
      <c r="AB12" s="323" t="str">
        <f>IF(AND('Mapa final'!$H$64="Muy Alta",'Mapa final'!$L$64="Mayor"),CONCATENATE("R",'Mapa final'!$A$64),"")</f>
        <v/>
      </c>
      <c r="AC12" s="324"/>
      <c r="AD12" s="324" t="str">
        <f>IF(AND('Mapa final'!$H$70="Muy Alta",'Mapa final'!$L$70="Mayor"),CONCATENATE("R",'Mapa final'!$A$70),"")</f>
        <v/>
      </c>
      <c r="AE12" s="324"/>
      <c r="AF12" s="324" t="str">
        <f>IF(AND('Mapa final'!$H$76="Muy Alta",'Mapa final'!$L$76="Mayor"),CONCATENATE("R",'Mapa final'!$A$76),"")</f>
        <v/>
      </c>
      <c r="AG12" s="325"/>
      <c r="AH12" s="314" t="str">
        <f>IF(AND('Mapa final'!$H$64="Muy Alta",'Mapa final'!$L$64="Catastrófico"),CONCATENATE("R",'Mapa final'!$A$64),"")</f>
        <v/>
      </c>
      <c r="AI12" s="315"/>
      <c r="AJ12" s="315" t="str">
        <f>IF(AND('Mapa final'!$H$70="Muy Alta",'Mapa final'!$L$70="Catastrófico"),CONCATENATE("R",'Mapa final'!$A$70),"")</f>
        <v/>
      </c>
      <c r="AK12" s="315"/>
      <c r="AL12" s="315" t="str">
        <f>IF(AND('Mapa final'!$H$76="Muy Alta",'Mapa final'!$L$76="Catastrófico"),CONCATENATE("R",'Mapa final'!$A$76),"")</f>
        <v/>
      </c>
      <c r="AM12" s="316"/>
      <c r="AN12" s="82"/>
      <c r="AO12" s="348"/>
      <c r="AP12" s="349"/>
      <c r="AQ12" s="349"/>
      <c r="AR12" s="349"/>
      <c r="AS12" s="349"/>
      <c r="AT12" s="350"/>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343"/>
      <c r="C13" s="343"/>
      <c r="D13" s="344"/>
      <c r="E13" s="339"/>
      <c r="F13" s="340"/>
      <c r="G13" s="340"/>
      <c r="H13" s="340"/>
      <c r="I13" s="341"/>
      <c r="J13" s="323"/>
      <c r="K13" s="324"/>
      <c r="L13" s="324"/>
      <c r="M13" s="324"/>
      <c r="N13" s="324"/>
      <c r="O13" s="325"/>
      <c r="P13" s="323"/>
      <c r="Q13" s="324"/>
      <c r="R13" s="324"/>
      <c r="S13" s="324"/>
      <c r="T13" s="324"/>
      <c r="U13" s="325"/>
      <c r="V13" s="323"/>
      <c r="W13" s="324"/>
      <c r="X13" s="324"/>
      <c r="Y13" s="324"/>
      <c r="Z13" s="324"/>
      <c r="AA13" s="325"/>
      <c r="AB13" s="323"/>
      <c r="AC13" s="324"/>
      <c r="AD13" s="324"/>
      <c r="AE13" s="324"/>
      <c r="AF13" s="324"/>
      <c r="AG13" s="325"/>
      <c r="AH13" s="317"/>
      <c r="AI13" s="318"/>
      <c r="AJ13" s="318"/>
      <c r="AK13" s="318"/>
      <c r="AL13" s="318"/>
      <c r="AM13" s="319"/>
      <c r="AN13" s="82"/>
      <c r="AO13" s="351"/>
      <c r="AP13" s="352"/>
      <c r="AQ13" s="352"/>
      <c r="AR13" s="352"/>
      <c r="AS13" s="352"/>
      <c r="AT13" s="353"/>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343"/>
      <c r="C14" s="343"/>
      <c r="D14" s="344"/>
      <c r="E14" s="333" t="s">
        <v>114</v>
      </c>
      <c r="F14" s="334"/>
      <c r="G14" s="334"/>
      <c r="H14" s="334"/>
      <c r="I14" s="334"/>
      <c r="J14" s="311" t="str">
        <f>IF(AND('Mapa final'!$H$10="Alta",'Mapa final'!$L$10="Leve"),CONCATENATE("R",'Mapa final'!$A$10),"")</f>
        <v/>
      </c>
      <c r="K14" s="312"/>
      <c r="L14" s="312" t="str">
        <f>IF(AND('Mapa final'!$H$16="Alta",'Mapa final'!$L$16="Leve"),CONCATENATE("R",'Mapa final'!$A$16),"")</f>
        <v/>
      </c>
      <c r="M14" s="312"/>
      <c r="N14" s="312" t="str">
        <f>IF(AND('Mapa final'!$H$22="Alta",'Mapa final'!$L$22="Leve"),CONCATENATE("R",'Mapa final'!$A$22),"")</f>
        <v/>
      </c>
      <c r="O14" s="313"/>
      <c r="P14" s="311" t="str">
        <f>IF(AND('Mapa final'!$H$10="Alta",'Mapa final'!$L$10="Menor"),CONCATENATE("R",'Mapa final'!$A$10),"")</f>
        <v/>
      </c>
      <c r="Q14" s="312"/>
      <c r="R14" s="312" t="str">
        <f>IF(AND('Mapa final'!$H$16="Alta",'Mapa final'!$L$16="Menor"),CONCATENATE("R",'Mapa final'!$A$16),"")</f>
        <v/>
      </c>
      <c r="S14" s="312"/>
      <c r="T14" s="312" t="str">
        <f>IF(AND('Mapa final'!$H$22="Alta",'Mapa final'!$L$22="Menor"),CONCATENATE("R",'Mapa final'!$A$22),"")</f>
        <v/>
      </c>
      <c r="U14" s="313"/>
      <c r="V14" s="329" t="str">
        <f>IF(AND('Mapa final'!$H$10="Alta",'Mapa final'!$L$10="Moderado"),CONCATENATE("R",'Mapa final'!$A$10),"")</f>
        <v/>
      </c>
      <c r="W14" s="330"/>
      <c r="X14" s="330" t="str">
        <f>IF(AND('Mapa final'!$H$16="Alta",'Mapa final'!$L$16="Moderado"),CONCATENATE("R",'Mapa final'!$A$16),"")</f>
        <v/>
      </c>
      <c r="Y14" s="330"/>
      <c r="Z14" s="330" t="str">
        <f>IF(AND('Mapa final'!$H$22="Alta",'Mapa final'!$L$22="Moderado"),CONCATENATE("R",'Mapa final'!$A$22),"")</f>
        <v/>
      </c>
      <c r="AA14" s="331"/>
      <c r="AB14" s="329" t="str">
        <f>IF(AND('Mapa final'!$H$10="Alta",'Mapa final'!$L$10="Mayor"),CONCATENATE("R",'Mapa final'!$A$10),"")</f>
        <v/>
      </c>
      <c r="AC14" s="330"/>
      <c r="AD14" s="330" t="str">
        <f>IF(AND('Mapa final'!$H$16="Alta",'Mapa final'!$L$16="Mayor"),CONCATENATE("R",'Mapa final'!$A$16),"")</f>
        <v>R2</v>
      </c>
      <c r="AE14" s="330"/>
      <c r="AF14" s="330" t="str">
        <f>IF(AND('Mapa final'!$H$22="Alta",'Mapa final'!$L$22="Mayor"),CONCATENATE("R",'Mapa final'!$A$22),"")</f>
        <v/>
      </c>
      <c r="AG14" s="331"/>
      <c r="AH14" s="320" t="str">
        <f>IF(AND('Mapa final'!$H$10="Alta",'Mapa final'!$L$10="Catastrófico"),CONCATENATE("R",'Mapa final'!$A$10),"")</f>
        <v/>
      </c>
      <c r="AI14" s="321"/>
      <c r="AJ14" s="321" t="str">
        <f>IF(AND('Mapa final'!$H$16="Alta",'Mapa final'!$L$16="Catastrófico"),CONCATENATE("R",'Mapa final'!$A$16),"")</f>
        <v/>
      </c>
      <c r="AK14" s="321"/>
      <c r="AL14" s="321" t="str">
        <f>IF(AND('Mapa final'!$H$22="Alta",'Mapa final'!$L$22="Catastrófico"),CONCATENATE("R",'Mapa final'!$A$22),"")</f>
        <v/>
      </c>
      <c r="AM14" s="322"/>
      <c r="AN14" s="82"/>
      <c r="AO14" s="354" t="s">
        <v>79</v>
      </c>
      <c r="AP14" s="355"/>
      <c r="AQ14" s="355"/>
      <c r="AR14" s="355"/>
      <c r="AS14" s="355"/>
      <c r="AT14" s="356"/>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343"/>
      <c r="C15" s="343"/>
      <c r="D15" s="344"/>
      <c r="E15" s="336"/>
      <c r="F15" s="337"/>
      <c r="G15" s="337"/>
      <c r="H15" s="337"/>
      <c r="I15" s="337"/>
      <c r="J15" s="305"/>
      <c r="K15" s="306"/>
      <c r="L15" s="306"/>
      <c r="M15" s="306"/>
      <c r="N15" s="306"/>
      <c r="O15" s="307"/>
      <c r="P15" s="305"/>
      <c r="Q15" s="306"/>
      <c r="R15" s="306"/>
      <c r="S15" s="306"/>
      <c r="T15" s="306"/>
      <c r="U15" s="307"/>
      <c r="V15" s="323"/>
      <c r="W15" s="324"/>
      <c r="X15" s="324"/>
      <c r="Y15" s="324"/>
      <c r="Z15" s="324"/>
      <c r="AA15" s="325"/>
      <c r="AB15" s="323"/>
      <c r="AC15" s="324"/>
      <c r="AD15" s="324"/>
      <c r="AE15" s="324"/>
      <c r="AF15" s="324"/>
      <c r="AG15" s="325"/>
      <c r="AH15" s="314"/>
      <c r="AI15" s="315"/>
      <c r="AJ15" s="315"/>
      <c r="AK15" s="315"/>
      <c r="AL15" s="315"/>
      <c r="AM15" s="316"/>
      <c r="AN15" s="82"/>
      <c r="AO15" s="357"/>
      <c r="AP15" s="358"/>
      <c r="AQ15" s="358"/>
      <c r="AR15" s="358"/>
      <c r="AS15" s="358"/>
      <c r="AT15" s="359"/>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343"/>
      <c r="C16" s="343"/>
      <c r="D16" s="344"/>
      <c r="E16" s="336"/>
      <c r="F16" s="337"/>
      <c r="G16" s="337"/>
      <c r="H16" s="337"/>
      <c r="I16" s="337"/>
      <c r="J16" s="305" t="str">
        <f>IF(AND('Mapa final'!$H$28="Alta",'Mapa final'!$L$28="Leve"),CONCATENATE("R",'Mapa final'!$A$28),"")</f>
        <v/>
      </c>
      <c r="K16" s="306"/>
      <c r="L16" s="306" t="str">
        <f>IF(AND('Mapa final'!$H$34="Alta",'Mapa final'!$L$34="Leve"),CONCATENATE("R",'Mapa final'!$A$34),"")</f>
        <v/>
      </c>
      <c r="M16" s="306"/>
      <c r="N16" s="306" t="str">
        <f>IF(AND('Mapa final'!$H$40="Alta",'Mapa final'!$L$40="Leve"),CONCATENATE("R",'Mapa final'!$A$40),"")</f>
        <v/>
      </c>
      <c r="O16" s="307"/>
      <c r="P16" s="305" t="str">
        <f>IF(AND('Mapa final'!$H$28="Alta",'Mapa final'!$L$28="Menor"),CONCATENATE("R",'Mapa final'!$A$28),"")</f>
        <v/>
      </c>
      <c r="Q16" s="306"/>
      <c r="R16" s="306" t="str">
        <f>IF(AND('Mapa final'!$H$34="Alta",'Mapa final'!$L$34="Menor"),CONCATENATE("R",'Mapa final'!$A$34),"")</f>
        <v/>
      </c>
      <c r="S16" s="306"/>
      <c r="T16" s="306" t="str">
        <f>IF(AND('Mapa final'!$H$40="Alta",'Mapa final'!$L$40="Menor"),CONCATENATE("R",'Mapa final'!$A$40),"")</f>
        <v/>
      </c>
      <c r="U16" s="307"/>
      <c r="V16" s="323" t="str">
        <f>IF(AND('Mapa final'!$H$28="Alta",'Mapa final'!$L$28="Moderado"),CONCATENATE("R",'Mapa final'!$A$28),"")</f>
        <v/>
      </c>
      <c r="W16" s="324"/>
      <c r="X16" s="324" t="str">
        <f>IF(AND('Mapa final'!$H$34="Alta",'Mapa final'!$L$34="Moderado"),CONCATENATE("R",'Mapa final'!$A$34),"")</f>
        <v/>
      </c>
      <c r="Y16" s="324"/>
      <c r="Z16" s="324" t="str">
        <f>IF(AND('Mapa final'!$H$40="Alta",'Mapa final'!$L$40="Moderado"),CONCATENATE("R",'Mapa final'!$A$40),"")</f>
        <v/>
      </c>
      <c r="AA16" s="325"/>
      <c r="AB16" s="323" t="str">
        <f>IF(AND('Mapa final'!$H$28="Alta",'Mapa final'!$L$28="Mayor"),CONCATENATE("R",'Mapa final'!$A$28),"")</f>
        <v/>
      </c>
      <c r="AC16" s="324"/>
      <c r="AD16" s="324" t="str">
        <f>IF(AND('Mapa final'!$H$34="Alta",'Mapa final'!$L$34="Mayor"),CONCATENATE("R",'Mapa final'!$A$34),"")</f>
        <v/>
      </c>
      <c r="AE16" s="324"/>
      <c r="AF16" s="324" t="str">
        <f>IF(AND('Mapa final'!$H$40="Alta",'Mapa final'!$L$40="Mayor"),CONCATENATE("R",'Mapa final'!$A$40),"")</f>
        <v/>
      </c>
      <c r="AG16" s="325"/>
      <c r="AH16" s="314" t="str">
        <f>IF(AND('Mapa final'!$H$28="Alta",'Mapa final'!$L$28="Catastrófico"),CONCATENATE("R",'Mapa final'!$A$28),"")</f>
        <v>R4</v>
      </c>
      <c r="AI16" s="315"/>
      <c r="AJ16" s="315" t="str">
        <f>IF(AND('Mapa final'!$H$34="Alta",'Mapa final'!$L$34="Catastrófico"),CONCATENATE("R",'Mapa final'!$A$34),"")</f>
        <v/>
      </c>
      <c r="AK16" s="315"/>
      <c r="AL16" s="315" t="str">
        <f>IF(AND('Mapa final'!$H$40="Alta",'Mapa final'!$L$40="Catastrófico"),CONCATENATE("R",'Mapa final'!$A$40),"")</f>
        <v/>
      </c>
      <c r="AM16" s="316"/>
      <c r="AN16" s="82"/>
      <c r="AO16" s="357"/>
      <c r="AP16" s="358"/>
      <c r="AQ16" s="358"/>
      <c r="AR16" s="358"/>
      <c r="AS16" s="358"/>
      <c r="AT16" s="359"/>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343"/>
      <c r="C17" s="343"/>
      <c r="D17" s="344"/>
      <c r="E17" s="336"/>
      <c r="F17" s="337"/>
      <c r="G17" s="337"/>
      <c r="H17" s="337"/>
      <c r="I17" s="337"/>
      <c r="J17" s="305"/>
      <c r="K17" s="306"/>
      <c r="L17" s="306"/>
      <c r="M17" s="306"/>
      <c r="N17" s="306"/>
      <c r="O17" s="307"/>
      <c r="P17" s="305"/>
      <c r="Q17" s="306"/>
      <c r="R17" s="306"/>
      <c r="S17" s="306"/>
      <c r="T17" s="306"/>
      <c r="U17" s="307"/>
      <c r="V17" s="323"/>
      <c r="W17" s="324"/>
      <c r="X17" s="324"/>
      <c r="Y17" s="324"/>
      <c r="Z17" s="324"/>
      <c r="AA17" s="325"/>
      <c r="AB17" s="323"/>
      <c r="AC17" s="324"/>
      <c r="AD17" s="324"/>
      <c r="AE17" s="324"/>
      <c r="AF17" s="324"/>
      <c r="AG17" s="325"/>
      <c r="AH17" s="314"/>
      <c r="AI17" s="315"/>
      <c r="AJ17" s="315"/>
      <c r="AK17" s="315"/>
      <c r="AL17" s="315"/>
      <c r="AM17" s="316"/>
      <c r="AN17" s="82"/>
      <c r="AO17" s="357"/>
      <c r="AP17" s="358"/>
      <c r="AQ17" s="358"/>
      <c r="AR17" s="358"/>
      <c r="AS17" s="358"/>
      <c r="AT17" s="359"/>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343"/>
      <c r="C18" s="343"/>
      <c r="D18" s="344"/>
      <c r="E18" s="336"/>
      <c r="F18" s="337"/>
      <c r="G18" s="337"/>
      <c r="H18" s="337"/>
      <c r="I18" s="337"/>
      <c r="J18" s="305" t="str">
        <f>IF(AND('Mapa final'!$H$46="Alta",'Mapa final'!$L$46="Leve"),CONCATENATE("R",'Mapa final'!$A$46),"")</f>
        <v/>
      </c>
      <c r="K18" s="306"/>
      <c r="L18" s="306" t="str">
        <f>IF(AND('Mapa final'!$H$52="Alta",'Mapa final'!$L$52="Leve"),CONCATENATE("R",'Mapa final'!$A$52),"")</f>
        <v/>
      </c>
      <c r="M18" s="306"/>
      <c r="N18" s="306" t="str">
        <f>IF(AND('Mapa final'!$H$58="Alta",'Mapa final'!$L$58="Leve"),CONCATENATE("R",'Mapa final'!$A$58),"")</f>
        <v/>
      </c>
      <c r="O18" s="307"/>
      <c r="P18" s="305" t="str">
        <f>IF(AND('Mapa final'!$H$46="Alta",'Mapa final'!$L$46="Menor"),CONCATENATE("R",'Mapa final'!$A$46),"")</f>
        <v/>
      </c>
      <c r="Q18" s="306"/>
      <c r="R18" s="306" t="str">
        <f>IF(AND('Mapa final'!$H$52="Alta",'Mapa final'!$L$52="Menor"),CONCATENATE("R",'Mapa final'!$A$52),"")</f>
        <v/>
      </c>
      <c r="S18" s="306"/>
      <c r="T18" s="306" t="str">
        <f>IF(AND('Mapa final'!$H$58="Alta",'Mapa final'!$L$58="Menor"),CONCATENATE("R",'Mapa final'!$A$58),"")</f>
        <v/>
      </c>
      <c r="U18" s="307"/>
      <c r="V18" s="323" t="str">
        <f>IF(AND('Mapa final'!$H$46="Alta",'Mapa final'!$L$46="Moderado"),CONCATENATE("R",'Mapa final'!$A$46),"")</f>
        <v/>
      </c>
      <c r="W18" s="324"/>
      <c r="X18" s="324" t="str">
        <f>IF(AND('Mapa final'!$H$52="Alta",'Mapa final'!$L$52="Moderado"),CONCATENATE("R",'Mapa final'!$A$52),"")</f>
        <v/>
      </c>
      <c r="Y18" s="324"/>
      <c r="Z18" s="324" t="str">
        <f>IF(AND('Mapa final'!$H$58="Alta",'Mapa final'!$L$58="Moderado"),CONCATENATE("R",'Mapa final'!$A$58),"")</f>
        <v/>
      </c>
      <c r="AA18" s="325"/>
      <c r="AB18" s="323" t="str">
        <f>IF(AND('Mapa final'!$H$46="Alta",'Mapa final'!$L$46="Mayor"),CONCATENATE("R",'Mapa final'!$A$46),"")</f>
        <v/>
      </c>
      <c r="AC18" s="324"/>
      <c r="AD18" s="324" t="str">
        <f>IF(AND('Mapa final'!$H$52="Alta",'Mapa final'!$L$52="Mayor"),CONCATENATE("R",'Mapa final'!$A$52),"")</f>
        <v/>
      </c>
      <c r="AE18" s="324"/>
      <c r="AF18" s="324" t="str">
        <f>IF(AND('Mapa final'!$H$58="Alta",'Mapa final'!$L$58="Mayor"),CONCATENATE("R",'Mapa final'!$A$58),"")</f>
        <v/>
      </c>
      <c r="AG18" s="325"/>
      <c r="AH18" s="314" t="str">
        <f>IF(AND('Mapa final'!$H$46="Alta",'Mapa final'!$L$46="Catastrófico"),CONCATENATE("R",'Mapa final'!$A$46),"")</f>
        <v/>
      </c>
      <c r="AI18" s="315"/>
      <c r="AJ18" s="315" t="str">
        <f>IF(AND('Mapa final'!$H$52="Alta",'Mapa final'!$L$52="Catastrófico"),CONCATENATE("R",'Mapa final'!$A$52),"")</f>
        <v/>
      </c>
      <c r="AK18" s="315"/>
      <c r="AL18" s="315" t="str">
        <f>IF(AND('Mapa final'!$H$58="Alta",'Mapa final'!$L$58="Catastrófico"),CONCATENATE("R",'Mapa final'!$A$58),"")</f>
        <v/>
      </c>
      <c r="AM18" s="316"/>
      <c r="AN18" s="82"/>
      <c r="AO18" s="357"/>
      <c r="AP18" s="358"/>
      <c r="AQ18" s="358"/>
      <c r="AR18" s="358"/>
      <c r="AS18" s="358"/>
      <c r="AT18" s="359"/>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343"/>
      <c r="C19" s="343"/>
      <c r="D19" s="344"/>
      <c r="E19" s="336"/>
      <c r="F19" s="337"/>
      <c r="G19" s="337"/>
      <c r="H19" s="337"/>
      <c r="I19" s="337"/>
      <c r="J19" s="305"/>
      <c r="K19" s="306"/>
      <c r="L19" s="306"/>
      <c r="M19" s="306"/>
      <c r="N19" s="306"/>
      <c r="O19" s="307"/>
      <c r="P19" s="305"/>
      <c r="Q19" s="306"/>
      <c r="R19" s="306"/>
      <c r="S19" s="306"/>
      <c r="T19" s="306"/>
      <c r="U19" s="307"/>
      <c r="V19" s="323"/>
      <c r="W19" s="324"/>
      <c r="X19" s="324"/>
      <c r="Y19" s="324"/>
      <c r="Z19" s="324"/>
      <c r="AA19" s="325"/>
      <c r="AB19" s="323"/>
      <c r="AC19" s="324"/>
      <c r="AD19" s="324"/>
      <c r="AE19" s="324"/>
      <c r="AF19" s="324"/>
      <c r="AG19" s="325"/>
      <c r="AH19" s="314"/>
      <c r="AI19" s="315"/>
      <c r="AJ19" s="315"/>
      <c r="AK19" s="315"/>
      <c r="AL19" s="315"/>
      <c r="AM19" s="316"/>
      <c r="AN19" s="82"/>
      <c r="AO19" s="357"/>
      <c r="AP19" s="358"/>
      <c r="AQ19" s="358"/>
      <c r="AR19" s="358"/>
      <c r="AS19" s="358"/>
      <c r="AT19" s="359"/>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343"/>
      <c r="C20" s="343"/>
      <c r="D20" s="344"/>
      <c r="E20" s="336"/>
      <c r="F20" s="337"/>
      <c r="G20" s="337"/>
      <c r="H20" s="337"/>
      <c r="I20" s="337"/>
      <c r="J20" s="305" t="str">
        <f>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323" t="str">
        <f>IF(AND('Mapa final'!$H$64="Alta",'Mapa final'!$L$64="Moderado"),CONCATENATE("R",'Mapa final'!$A$64),"")</f>
        <v/>
      </c>
      <c r="W20" s="324"/>
      <c r="X20" s="324" t="str">
        <f>IF(AND('Mapa final'!$H$70="Alta",'Mapa final'!$L$70="Moderado"),CONCATENATE("R",'Mapa final'!$A$70),"")</f>
        <v/>
      </c>
      <c r="Y20" s="324"/>
      <c r="Z20" s="324" t="str">
        <f>IF(AND('Mapa final'!$H$76="Alta",'Mapa final'!$L$76="Moderado"),CONCATENATE("R",'Mapa final'!$A$76),"")</f>
        <v/>
      </c>
      <c r="AA20" s="325"/>
      <c r="AB20" s="323" t="str">
        <f>IF(AND('Mapa final'!$H$64="Alta",'Mapa final'!$L$64="Mayor"),CONCATENATE("R",'Mapa final'!$A$64),"")</f>
        <v/>
      </c>
      <c r="AC20" s="324"/>
      <c r="AD20" s="324" t="str">
        <f>IF(AND('Mapa final'!$H$70="Alta",'Mapa final'!$L$70="Mayor"),CONCATENATE("R",'Mapa final'!$A$70),"")</f>
        <v/>
      </c>
      <c r="AE20" s="324"/>
      <c r="AF20" s="324" t="str">
        <f>IF(AND('Mapa final'!$H$76="Alta",'Mapa final'!$L$76="Mayor"),CONCATENATE("R",'Mapa final'!$A$76),"")</f>
        <v/>
      </c>
      <c r="AG20" s="325"/>
      <c r="AH20" s="314" t="str">
        <f>IF(AND('Mapa final'!$H$64="Alta",'Mapa final'!$L$64="Catastrófico"),CONCATENATE("R",'Mapa final'!$A$64),"")</f>
        <v/>
      </c>
      <c r="AI20" s="315"/>
      <c r="AJ20" s="315" t="str">
        <f>IF(AND('Mapa final'!$H$70="Alta",'Mapa final'!$L$70="Catastrófico"),CONCATENATE("R",'Mapa final'!$A$70),"")</f>
        <v/>
      </c>
      <c r="AK20" s="315"/>
      <c r="AL20" s="315" t="str">
        <f>IF(AND('Mapa final'!$H$76="Alta",'Mapa final'!$L$76="Catastrófico"),CONCATENATE("R",'Mapa final'!$A$76),"")</f>
        <v/>
      </c>
      <c r="AM20" s="316"/>
      <c r="AN20" s="82"/>
      <c r="AO20" s="357"/>
      <c r="AP20" s="358"/>
      <c r="AQ20" s="358"/>
      <c r="AR20" s="358"/>
      <c r="AS20" s="358"/>
      <c r="AT20" s="359"/>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343"/>
      <c r="C21" s="343"/>
      <c r="D21" s="344"/>
      <c r="E21" s="339"/>
      <c r="F21" s="340"/>
      <c r="G21" s="340"/>
      <c r="H21" s="340"/>
      <c r="I21" s="340"/>
      <c r="J21" s="308"/>
      <c r="K21" s="309"/>
      <c r="L21" s="309"/>
      <c r="M21" s="309"/>
      <c r="N21" s="309"/>
      <c r="O21" s="310"/>
      <c r="P21" s="308"/>
      <c r="Q21" s="309"/>
      <c r="R21" s="309"/>
      <c r="S21" s="309"/>
      <c r="T21" s="309"/>
      <c r="U21" s="310"/>
      <c r="V21" s="326"/>
      <c r="W21" s="327"/>
      <c r="X21" s="327"/>
      <c r="Y21" s="327"/>
      <c r="Z21" s="327"/>
      <c r="AA21" s="328"/>
      <c r="AB21" s="326"/>
      <c r="AC21" s="327"/>
      <c r="AD21" s="327"/>
      <c r="AE21" s="327"/>
      <c r="AF21" s="327"/>
      <c r="AG21" s="328"/>
      <c r="AH21" s="317"/>
      <c r="AI21" s="318"/>
      <c r="AJ21" s="318"/>
      <c r="AK21" s="318"/>
      <c r="AL21" s="318"/>
      <c r="AM21" s="319"/>
      <c r="AN21" s="82"/>
      <c r="AO21" s="360"/>
      <c r="AP21" s="361"/>
      <c r="AQ21" s="361"/>
      <c r="AR21" s="361"/>
      <c r="AS21" s="361"/>
      <c r="AT21" s="36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343"/>
      <c r="C22" s="343"/>
      <c r="D22" s="344"/>
      <c r="E22" s="333" t="s">
        <v>116</v>
      </c>
      <c r="F22" s="334"/>
      <c r="G22" s="334"/>
      <c r="H22" s="334"/>
      <c r="I22" s="335"/>
      <c r="J22" s="311" t="str">
        <f>IF(AND('Mapa final'!$H$10="Media",'Mapa final'!$L$10="Leve"),CONCATENATE("R",'Mapa final'!$A$10),"")</f>
        <v/>
      </c>
      <c r="K22" s="312"/>
      <c r="L22" s="312" t="str">
        <f>IF(AND('Mapa final'!$H$16="Media",'Mapa final'!$L$16="Leve"),CONCATENATE("R",'Mapa final'!$A$16),"")</f>
        <v/>
      </c>
      <c r="M22" s="312"/>
      <c r="N22" s="312" t="str">
        <f>IF(AND('Mapa final'!$H$22="Media",'Mapa final'!$L$22="Leve"),CONCATENATE("R",'Mapa final'!$A$22),"")</f>
        <v/>
      </c>
      <c r="O22" s="313"/>
      <c r="P22" s="311" t="str">
        <f>IF(AND('Mapa final'!$H$10="Media",'Mapa final'!$L$10="Menor"),CONCATENATE("R",'Mapa final'!$A$10),"")</f>
        <v/>
      </c>
      <c r="Q22" s="312"/>
      <c r="R22" s="312" t="str">
        <f>IF(AND('Mapa final'!$H$16="Media",'Mapa final'!$L$16="Menor"),CONCATENATE("R",'Mapa final'!$A$16),"")</f>
        <v/>
      </c>
      <c r="S22" s="312"/>
      <c r="T22" s="312" t="str">
        <f>IF(AND('Mapa final'!$H$22="Media",'Mapa final'!$L$22="Menor"),CONCATENATE("R",'Mapa final'!$A$22),"")</f>
        <v/>
      </c>
      <c r="U22" s="313"/>
      <c r="V22" s="311" t="str">
        <f>IF(AND('Mapa final'!$H$10="Media",'Mapa final'!$L$10="Moderado"),CONCATENATE("R",'Mapa final'!$A$10),"")</f>
        <v/>
      </c>
      <c r="W22" s="312"/>
      <c r="X22" s="312" t="str">
        <f>IF(AND('Mapa final'!$H$16="Media",'Mapa final'!$L$16="Moderado"),CONCATENATE("R",'Mapa final'!$A$16),"")</f>
        <v/>
      </c>
      <c r="Y22" s="312"/>
      <c r="Z22" s="312" t="str">
        <f>IF(AND('Mapa final'!$H$22="Media",'Mapa final'!$L$22="Moderado"),CONCATENATE("R",'Mapa final'!$A$22),"")</f>
        <v/>
      </c>
      <c r="AA22" s="313"/>
      <c r="AB22" s="329" t="str">
        <f>IF(AND('Mapa final'!$H$10="Media",'Mapa final'!$L$10="Mayor"),CONCATENATE("R",'Mapa final'!$A$10),"")</f>
        <v/>
      </c>
      <c r="AC22" s="330"/>
      <c r="AD22" s="330" t="str">
        <f>IF(AND('Mapa final'!$H$16="Media",'Mapa final'!$L$16="Mayor"),CONCATENATE("R",'Mapa final'!$A$16),"")</f>
        <v/>
      </c>
      <c r="AE22" s="330"/>
      <c r="AF22" s="330" t="str">
        <f>IF(AND('Mapa final'!$H$22="Media",'Mapa final'!$L$22="Mayor"),CONCATENATE("R",'Mapa final'!$A$22),"")</f>
        <v/>
      </c>
      <c r="AG22" s="331"/>
      <c r="AH22" s="320" t="str">
        <f>IF(AND('Mapa final'!$H$10="Media",'Mapa final'!$L$10="Catastrófico"),CONCATENATE("R",'Mapa final'!$A$10),"")</f>
        <v/>
      </c>
      <c r="AI22" s="321"/>
      <c r="AJ22" s="321" t="str">
        <f>IF(AND('Mapa final'!$H$16="Media",'Mapa final'!$L$16="Catastrófico"),CONCATENATE("R",'Mapa final'!$A$16),"")</f>
        <v/>
      </c>
      <c r="AK22" s="321"/>
      <c r="AL22" s="321" t="str">
        <f>IF(AND('Mapa final'!$H$22="Media",'Mapa final'!$L$22="Catastrófico"),CONCATENATE("R",'Mapa final'!$A$22),"")</f>
        <v/>
      </c>
      <c r="AM22" s="322"/>
      <c r="AN22" s="82"/>
      <c r="AO22" s="363" t="s">
        <v>80</v>
      </c>
      <c r="AP22" s="364"/>
      <c r="AQ22" s="364"/>
      <c r="AR22" s="364"/>
      <c r="AS22" s="364"/>
      <c r="AT22" s="365"/>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343"/>
      <c r="C23" s="343"/>
      <c r="D23" s="344"/>
      <c r="E23" s="336"/>
      <c r="F23" s="337"/>
      <c r="G23" s="337"/>
      <c r="H23" s="337"/>
      <c r="I23" s="338"/>
      <c r="J23" s="305"/>
      <c r="K23" s="306"/>
      <c r="L23" s="306"/>
      <c r="M23" s="306"/>
      <c r="N23" s="306"/>
      <c r="O23" s="307"/>
      <c r="P23" s="305"/>
      <c r="Q23" s="306"/>
      <c r="R23" s="306"/>
      <c r="S23" s="306"/>
      <c r="T23" s="306"/>
      <c r="U23" s="307"/>
      <c r="V23" s="305"/>
      <c r="W23" s="306"/>
      <c r="X23" s="306"/>
      <c r="Y23" s="306"/>
      <c r="Z23" s="306"/>
      <c r="AA23" s="307"/>
      <c r="AB23" s="323"/>
      <c r="AC23" s="324"/>
      <c r="AD23" s="324"/>
      <c r="AE23" s="324"/>
      <c r="AF23" s="324"/>
      <c r="AG23" s="325"/>
      <c r="AH23" s="314"/>
      <c r="AI23" s="315"/>
      <c r="AJ23" s="315"/>
      <c r="AK23" s="315"/>
      <c r="AL23" s="315"/>
      <c r="AM23" s="316"/>
      <c r="AN23" s="82"/>
      <c r="AO23" s="366"/>
      <c r="AP23" s="367"/>
      <c r="AQ23" s="367"/>
      <c r="AR23" s="367"/>
      <c r="AS23" s="367"/>
      <c r="AT23" s="368"/>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343"/>
      <c r="C24" s="343"/>
      <c r="D24" s="344"/>
      <c r="E24" s="336"/>
      <c r="F24" s="337"/>
      <c r="G24" s="337"/>
      <c r="H24" s="337"/>
      <c r="I24" s="338"/>
      <c r="J24" s="305" t="str">
        <f>IF(AND('Mapa final'!$H$28="Media",'Mapa final'!$L$28="Leve"),CONCATENATE("R",'Mapa final'!$A$28),"")</f>
        <v/>
      </c>
      <c r="K24" s="306"/>
      <c r="L24" s="306" t="str">
        <f>IF(AND('Mapa final'!$H$34="Media",'Mapa final'!$L$34="Leve"),CONCATENATE("R",'Mapa final'!$A$34),"")</f>
        <v/>
      </c>
      <c r="M24" s="306"/>
      <c r="N24" s="306" t="str">
        <f>IF(AND('Mapa final'!$H$40="Media",'Mapa final'!$L$40="Leve"),CONCATENATE("R",'Mapa final'!$A$40),"")</f>
        <v/>
      </c>
      <c r="O24" s="307"/>
      <c r="P24" s="305" t="str">
        <f>IF(AND('Mapa final'!$H$28="Media",'Mapa final'!$L$28="Menor"),CONCATENATE("R",'Mapa final'!$A$28),"")</f>
        <v/>
      </c>
      <c r="Q24" s="306"/>
      <c r="R24" s="306" t="str">
        <f>IF(AND('Mapa final'!$H$34="Media",'Mapa final'!$L$34="Menor"),CONCATENATE("R",'Mapa final'!$A$34),"")</f>
        <v/>
      </c>
      <c r="S24" s="306"/>
      <c r="T24" s="306" t="str">
        <f>IF(AND('Mapa final'!$H$40="Media",'Mapa final'!$L$40="Menor"),CONCATENATE("R",'Mapa final'!$A$40),"")</f>
        <v/>
      </c>
      <c r="U24" s="307"/>
      <c r="V24" s="305" t="str">
        <f>IF(AND('Mapa final'!$H$28="Media",'Mapa final'!$L$28="Moderado"),CONCATENATE("R",'Mapa final'!$A$28),"")</f>
        <v/>
      </c>
      <c r="W24" s="306"/>
      <c r="X24" s="306" t="str">
        <f>IF(AND('Mapa final'!$H$34="Media",'Mapa final'!$L$34="Moderado"),CONCATENATE("R",'Mapa final'!$A$34),"")</f>
        <v/>
      </c>
      <c r="Y24" s="306"/>
      <c r="Z24" s="306" t="str">
        <f>IF(AND('Mapa final'!$H$40="Media",'Mapa final'!$L$40="Moderado"),CONCATENATE("R",'Mapa final'!$A$40),"")</f>
        <v/>
      </c>
      <c r="AA24" s="307"/>
      <c r="AB24" s="323" t="str">
        <f>IF(AND('Mapa final'!$H$28="Media",'Mapa final'!$L$28="Mayor"),CONCATENATE("R",'Mapa final'!$A$28),"")</f>
        <v/>
      </c>
      <c r="AC24" s="324"/>
      <c r="AD24" s="324" t="str">
        <f>IF(AND('Mapa final'!$H$34="Media",'Mapa final'!$L$34="Mayor"),CONCATENATE("R",'Mapa final'!$A$34),"")</f>
        <v/>
      </c>
      <c r="AE24" s="324"/>
      <c r="AF24" s="324" t="str">
        <f>IF(AND('Mapa final'!$H$40="Media",'Mapa final'!$L$40="Mayor"),CONCATENATE("R",'Mapa final'!$A$40),"")</f>
        <v/>
      </c>
      <c r="AG24" s="325"/>
      <c r="AH24" s="314" t="str">
        <f>IF(AND('Mapa final'!$H$28="Media",'Mapa final'!$L$28="Catastrófico"),CONCATENATE("R",'Mapa final'!$A$28),"")</f>
        <v/>
      </c>
      <c r="AI24" s="315"/>
      <c r="AJ24" s="315" t="str">
        <f>IF(AND('Mapa final'!$H$34="Media",'Mapa final'!$L$34="Catastrófico"),CONCATENATE("R",'Mapa final'!$A$34),"")</f>
        <v/>
      </c>
      <c r="AK24" s="315"/>
      <c r="AL24" s="315" t="str">
        <f>IF(AND('Mapa final'!$H$40="Media",'Mapa final'!$L$40="Catastrófico"),CONCATENATE("R",'Mapa final'!$A$40),"")</f>
        <v/>
      </c>
      <c r="AM24" s="316"/>
      <c r="AN24" s="82"/>
      <c r="AO24" s="366"/>
      <c r="AP24" s="367"/>
      <c r="AQ24" s="367"/>
      <c r="AR24" s="367"/>
      <c r="AS24" s="367"/>
      <c r="AT24" s="368"/>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343"/>
      <c r="C25" s="343"/>
      <c r="D25" s="344"/>
      <c r="E25" s="336"/>
      <c r="F25" s="337"/>
      <c r="G25" s="337"/>
      <c r="H25" s="337"/>
      <c r="I25" s="338"/>
      <c r="J25" s="305"/>
      <c r="K25" s="306"/>
      <c r="L25" s="306"/>
      <c r="M25" s="306"/>
      <c r="N25" s="306"/>
      <c r="O25" s="307"/>
      <c r="P25" s="305"/>
      <c r="Q25" s="306"/>
      <c r="R25" s="306"/>
      <c r="S25" s="306"/>
      <c r="T25" s="306"/>
      <c r="U25" s="307"/>
      <c r="V25" s="305"/>
      <c r="W25" s="306"/>
      <c r="X25" s="306"/>
      <c r="Y25" s="306"/>
      <c r="Z25" s="306"/>
      <c r="AA25" s="307"/>
      <c r="AB25" s="323"/>
      <c r="AC25" s="324"/>
      <c r="AD25" s="324"/>
      <c r="AE25" s="324"/>
      <c r="AF25" s="324"/>
      <c r="AG25" s="325"/>
      <c r="AH25" s="314"/>
      <c r="AI25" s="315"/>
      <c r="AJ25" s="315"/>
      <c r="AK25" s="315"/>
      <c r="AL25" s="315"/>
      <c r="AM25" s="316"/>
      <c r="AN25" s="82"/>
      <c r="AO25" s="366"/>
      <c r="AP25" s="367"/>
      <c r="AQ25" s="367"/>
      <c r="AR25" s="367"/>
      <c r="AS25" s="367"/>
      <c r="AT25" s="368"/>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343"/>
      <c r="C26" s="343"/>
      <c r="D26" s="344"/>
      <c r="E26" s="336"/>
      <c r="F26" s="337"/>
      <c r="G26" s="337"/>
      <c r="H26" s="337"/>
      <c r="I26" s="338"/>
      <c r="J26" s="305" t="str">
        <f>IF(AND('Mapa final'!$H$46="Media",'Mapa final'!$L$46="Leve"),CONCATENATE("R",'Mapa final'!$A$46),"")</f>
        <v/>
      </c>
      <c r="K26" s="306"/>
      <c r="L26" s="306" t="str">
        <f>IF(AND('Mapa final'!$H$52="Media",'Mapa final'!$L$52="Leve"),CONCATENATE("R",'Mapa final'!$A$52),"")</f>
        <v/>
      </c>
      <c r="M26" s="306"/>
      <c r="N26" s="306" t="str">
        <f>IF(AND('Mapa final'!$H$58="Media",'Mapa final'!$L$58="Leve"),CONCATENATE("R",'Mapa final'!$A$58),"")</f>
        <v/>
      </c>
      <c r="O26" s="307"/>
      <c r="P26" s="305" t="str">
        <f>IF(AND('Mapa final'!$H$46="Media",'Mapa final'!$L$46="Menor"),CONCATENATE("R",'Mapa final'!$A$46),"")</f>
        <v/>
      </c>
      <c r="Q26" s="306"/>
      <c r="R26" s="306" t="str">
        <f>IF(AND('Mapa final'!$H$52="Media",'Mapa final'!$L$52="Menor"),CONCATENATE("R",'Mapa final'!$A$52),"")</f>
        <v/>
      </c>
      <c r="S26" s="306"/>
      <c r="T26" s="306" t="str">
        <f>IF(AND('Mapa final'!$H$58="Media",'Mapa final'!$L$58="Menor"),CONCATENATE("R",'Mapa final'!$A$58),"")</f>
        <v/>
      </c>
      <c r="U26" s="307"/>
      <c r="V26" s="305" t="str">
        <f>IF(AND('Mapa final'!$H$46="Media",'Mapa final'!$L$46="Moderado"),CONCATENATE("R",'Mapa final'!$A$46),"")</f>
        <v/>
      </c>
      <c r="W26" s="306"/>
      <c r="X26" s="306" t="str">
        <f>IF(AND('Mapa final'!$H$52="Media",'Mapa final'!$L$52="Moderado"),CONCATENATE("R",'Mapa final'!$A$52),"")</f>
        <v/>
      </c>
      <c r="Y26" s="306"/>
      <c r="Z26" s="306" t="str">
        <f>IF(AND('Mapa final'!$H$58="Media",'Mapa final'!$L$58="Moderado"),CONCATENATE("R",'Mapa final'!$A$58),"")</f>
        <v/>
      </c>
      <c r="AA26" s="307"/>
      <c r="AB26" s="323" t="str">
        <f>IF(AND('Mapa final'!$H$46="Media",'Mapa final'!$L$46="Mayor"),CONCATENATE("R",'Mapa final'!$A$46),"")</f>
        <v/>
      </c>
      <c r="AC26" s="324"/>
      <c r="AD26" s="324" t="str">
        <f>IF(AND('Mapa final'!$H$52="Media",'Mapa final'!$L$52="Mayor"),CONCATENATE("R",'Mapa final'!$A$52),"")</f>
        <v/>
      </c>
      <c r="AE26" s="324"/>
      <c r="AF26" s="324" t="str">
        <f>IF(AND('Mapa final'!$H$58="Media",'Mapa final'!$L$58="Mayor"),CONCATENATE("R",'Mapa final'!$A$58),"")</f>
        <v/>
      </c>
      <c r="AG26" s="325"/>
      <c r="AH26" s="314" t="str">
        <f>IF(AND('Mapa final'!$H$46="Media",'Mapa final'!$L$46="Catastrófico"),CONCATENATE("R",'Mapa final'!$A$46),"")</f>
        <v/>
      </c>
      <c r="AI26" s="315"/>
      <c r="AJ26" s="315" t="str">
        <f>IF(AND('Mapa final'!$H$52="Media",'Mapa final'!$L$52="Catastrófico"),CONCATENATE("R",'Mapa final'!$A$52),"")</f>
        <v/>
      </c>
      <c r="AK26" s="315"/>
      <c r="AL26" s="315" t="str">
        <f>IF(AND('Mapa final'!$H$58="Media",'Mapa final'!$L$58="Catastrófico"),CONCATENATE("R",'Mapa final'!$A$58),"")</f>
        <v/>
      </c>
      <c r="AM26" s="316"/>
      <c r="AN26" s="82"/>
      <c r="AO26" s="366"/>
      <c r="AP26" s="367"/>
      <c r="AQ26" s="367"/>
      <c r="AR26" s="367"/>
      <c r="AS26" s="367"/>
      <c r="AT26" s="368"/>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343"/>
      <c r="C27" s="343"/>
      <c r="D27" s="344"/>
      <c r="E27" s="336"/>
      <c r="F27" s="337"/>
      <c r="G27" s="337"/>
      <c r="H27" s="337"/>
      <c r="I27" s="338"/>
      <c r="J27" s="305"/>
      <c r="K27" s="306"/>
      <c r="L27" s="306"/>
      <c r="M27" s="306"/>
      <c r="N27" s="306"/>
      <c r="O27" s="307"/>
      <c r="P27" s="305"/>
      <c r="Q27" s="306"/>
      <c r="R27" s="306"/>
      <c r="S27" s="306"/>
      <c r="T27" s="306"/>
      <c r="U27" s="307"/>
      <c r="V27" s="305"/>
      <c r="W27" s="306"/>
      <c r="X27" s="306"/>
      <c r="Y27" s="306"/>
      <c r="Z27" s="306"/>
      <c r="AA27" s="307"/>
      <c r="AB27" s="323"/>
      <c r="AC27" s="324"/>
      <c r="AD27" s="324"/>
      <c r="AE27" s="324"/>
      <c r="AF27" s="324"/>
      <c r="AG27" s="325"/>
      <c r="AH27" s="314"/>
      <c r="AI27" s="315"/>
      <c r="AJ27" s="315"/>
      <c r="AK27" s="315"/>
      <c r="AL27" s="315"/>
      <c r="AM27" s="316"/>
      <c r="AN27" s="82"/>
      <c r="AO27" s="366"/>
      <c r="AP27" s="367"/>
      <c r="AQ27" s="367"/>
      <c r="AR27" s="367"/>
      <c r="AS27" s="367"/>
      <c r="AT27" s="368"/>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343"/>
      <c r="C28" s="343"/>
      <c r="D28" s="344"/>
      <c r="E28" s="336"/>
      <c r="F28" s="337"/>
      <c r="G28" s="337"/>
      <c r="H28" s="337"/>
      <c r="I28" s="338"/>
      <c r="J28" s="305" t="str">
        <f>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323" t="str">
        <f>IF(AND('Mapa final'!$H$64="Media",'Mapa final'!$L$64="Mayor"),CONCATENATE("R",'Mapa final'!$A$64),"")</f>
        <v/>
      </c>
      <c r="AC28" s="324"/>
      <c r="AD28" s="324" t="str">
        <f>IF(AND('Mapa final'!$H$70="Media",'Mapa final'!$L$70="Mayor"),CONCATENATE("R",'Mapa final'!$A$70),"")</f>
        <v/>
      </c>
      <c r="AE28" s="324"/>
      <c r="AF28" s="324" t="str">
        <f>IF(AND('Mapa final'!$H$76="Media",'Mapa final'!$L$76="Mayor"),CONCATENATE("R",'Mapa final'!$A$76),"")</f>
        <v/>
      </c>
      <c r="AG28" s="325"/>
      <c r="AH28" s="314" t="str">
        <f>IF(AND('Mapa final'!$H$64="Media",'Mapa final'!$L$64="Catastrófico"),CONCATENATE("R",'Mapa final'!$A$64),"")</f>
        <v/>
      </c>
      <c r="AI28" s="315"/>
      <c r="AJ28" s="315" t="str">
        <f>IF(AND('Mapa final'!$H$70="Media",'Mapa final'!$L$70="Catastrófico"),CONCATENATE("R",'Mapa final'!$A$70),"")</f>
        <v/>
      </c>
      <c r="AK28" s="315"/>
      <c r="AL28" s="315" t="str">
        <f>IF(AND('Mapa final'!$H$76="Media",'Mapa final'!$L$76="Catastrófico"),CONCATENATE("R",'Mapa final'!$A$76),"")</f>
        <v/>
      </c>
      <c r="AM28" s="316"/>
      <c r="AN28" s="82"/>
      <c r="AO28" s="366"/>
      <c r="AP28" s="367"/>
      <c r="AQ28" s="367"/>
      <c r="AR28" s="367"/>
      <c r="AS28" s="367"/>
      <c r="AT28" s="368"/>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343"/>
      <c r="C29" s="343"/>
      <c r="D29" s="344"/>
      <c r="E29" s="339"/>
      <c r="F29" s="340"/>
      <c r="G29" s="340"/>
      <c r="H29" s="340"/>
      <c r="I29" s="341"/>
      <c r="J29" s="305"/>
      <c r="K29" s="306"/>
      <c r="L29" s="306"/>
      <c r="M29" s="306"/>
      <c r="N29" s="306"/>
      <c r="O29" s="307"/>
      <c r="P29" s="308"/>
      <c r="Q29" s="309"/>
      <c r="R29" s="309"/>
      <c r="S29" s="309"/>
      <c r="T29" s="309"/>
      <c r="U29" s="310"/>
      <c r="V29" s="308"/>
      <c r="W29" s="309"/>
      <c r="X29" s="309"/>
      <c r="Y29" s="309"/>
      <c r="Z29" s="309"/>
      <c r="AA29" s="310"/>
      <c r="AB29" s="326"/>
      <c r="AC29" s="327"/>
      <c r="AD29" s="327"/>
      <c r="AE29" s="327"/>
      <c r="AF29" s="327"/>
      <c r="AG29" s="328"/>
      <c r="AH29" s="317"/>
      <c r="AI29" s="318"/>
      <c r="AJ29" s="318"/>
      <c r="AK29" s="318"/>
      <c r="AL29" s="318"/>
      <c r="AM29" s="319"/>
      <c r="AN29" s="82"/>
      <c r="AO29" s="369"/>
      <c r="AP29" s="370"/>
      <c r="AQ29" s="370"/>
      <c r="AR29" s="370"/>
      <c r="AS29" s="370"/>
      <c r="AT29" s="371"/>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343"/>
      <c r="C30" s="343"/>
      <c r="D30" s="344"/>
      <c r="E30" s="333" t="s">
        <v>113</v>
      </c>
      <c r="F30" s="334"/>
      <c r="G30" s="334"/>
      <c r="H30" s="334"/>
      <c r="I30" s="334"/>
      <c r="J30" s="302" t="str">
        <f>IF(AND('Mapa final'!$H$10="Baja",'Mapa final'!$L$10="Leve"),CONCATENATE("R",'Mapa final'!$A$10),"")</f>
        <v/>
      </c>
      <c r="K30" s="303"/>
      <c r="L30" s="303" t="str">
        <f>IF(AND('Mapa final'!$H$16="Baja",'Mapa final'!$L$16="Leve"),CONCATENATE("R",'Mapa final'!$A$16),"")</f>
        <v/>
      </c>
      <c r="M30" s="303"/>
      <c r="N30" s="303" t="str">
        <f>IF(AND('Mapa final'!$H$22="Baja",'Mapa final'!$L$22="Leve"),CONCATENATE("R",'Mapa final'!$A$22),"")</f>
        <v/>
      </c>
      <c r="O30" s="304"/>
      <c r="P30" s="312" t="str">
        <f>IF(AND('Mapa final'!$H$10="Baja",'Mapa final'!$L$10="Menor"),CONCATENATE("R",'Mapa final'!$A$10),"")</f>
        <v/>
      </c>
      <c r="Q30" s="312"/>
      <c r="R30" s="312" t="str">
        <f>IF(AND('Mapa final'!$H$16="Baja",'Mapa final'!$L$16="Menor"),CONCATENATE("R",'Mapa final'!$A$16),"")</f>
        <v/>
      </c>
      <c r="S30" s="312"/>
      <c r="T30" s="312" t="str">
        <f>IF(AND('Mapa final'!$H$22="Baja",'Mapa final'!$L$22="Menor"),CONCATENATE("R",'Mapa final'!$A$22),"")</f>
        <v/>
      </c>
      <c r="U30" s="313"/>
      <c r="V30" s="311" t="str">
        <f>IF(AND('Mapa final'!$H$10="Baja",'Mapa final'!$L$10="Moderado"),CONCATENATE("R",'Mapa final'!$A$10),"")</f>
        <v/>
      </c>
      <c r="W30" s="312"/>
      <c r="X30" s="312" t="str">
        <f>IF(AND('Mapa final'!$H$16="Baja",'Mapa final'!$L$16="Moderado"),CONCATENATE("R",'Mapa final'!$A$16),"")</f>
        <v/>
      </c>
      <c r="Y30" s="312"/>
      <c r="Z30" s="312" t="str">
        <f>IF(AND('Mapa final'!$H$22="Baja",'Mapa final'!$L$22="Moderado"),CONCATENATE("R",'Mapa final'!$A$22),"")</f>
        <v>R3</v>
      </c>
      <c r="AA30" s="313"/>
      <c r="AB30" s="329" t="str">
        <f>IF(AND('Mapa final'!$H$10="Baja",'Mapa final'!$L$10="Mayor"),CONCATENATE("R",'Mapa final'!$A$10),"")</f>
        <v>R1</v>
      </c>
      <c r="AC30" s="330"/>
      <c r="AD30" s="330" t="str">
        <f>IF(AND('Mapa final'!$H$16="Baja",'Mapa final'!$L$16="Mayor"),CONCATENATE("R",'Mapa final'!$A$16),"")</f>
        <v/>
      </c>
      <c r="AE30" s="330"/>
      <c r="AF30" s="330" t="str">
        <f>IF(AND('Mapa final'!$H$22="Baja",'Mapa final'!$L$22="Mayor"),CONCATENATE("R",'Mapa final'!$A$22),"")</f>
        <v/>
      </c>
      <c r="AG30" s="331"/>
      <c r="AH30" s="320" t="str">
        <f>IF(AND('Mapa final'!$H$10="Baja",'Mapa final'!$L$10="Catastrófico"),CONCATENATE("R",'Mapa final'!$A$10),"")</f>
        <v/>
      </c>
      <c r="AI30" s="321"/>
      <c r="AJ30" s="321" t="str">
        <f>IF(AND('Mapa final'!$H$16="Baja",'Mapa final'!$L$16="Catastrófico"),CONCATENATE("R",'Mapa final'!$A$16),"")</f>
        <v/>
      </c>
      <c r="AK30" s="321"/>
      <c r="AL30" s="321" t="str">
        <f>IF(AND('Mapa final'!$H$22="Baja",'Mapa final'!$L$22="Catastrófico"),CONCATENATE("R",'Mapa final'!$A$22),"")</f>
        <v/>
      </c>
      <c r="AM30" s="322"/>
      <c r="AN30" s="82"/>
      <c r="AO30" s="372" t="s">
        <v>81</v>
      </c>
      <c r="AP30" s="373"/>
      <c r="AQ30" s="373"/>
      <c r="AR30" s="373"/>
      <c r="AS30" s="373"/>
      <c r="AT30" s="374"/>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343"/>
      <c r="C31" s="343"/>
      <c r="D31" s="344"/>
      <c r="E31" s="336"/>
      <c r="F31" s="337"/>
      <c r="G31" s="337"/>
      <c r="H31" s="337"/>
      <c r="I31" s="337"/>
      <c r="J31" s="296"/>
      <c r="K31" s="297"/>
      <c r="L31" s="297"/>
      <c r="M31" s="297"/>
      <c r="N31" s="297"/>
      <c r="O31" s="298"/>
      <c r="P31" s="306"/>
      <c r="Q31" s="306"/>
      <c r="R31" s="306"/>
      <c r="S31" s="306"/>
      <c r="T31" s="306"/>
      <c r="U31" s="307"/>
      <c r="V31" s="305"/>
      <c r="W31" s="306"/>
      <c r="X31" s="306"/>
      <c r="Y31" s="306"/>
      <c r="Z31" s="306"/>
      <c r="AA31" s="307"/>
      <c r="AB31" s="323"/>
      <c r="AC31" s="324"/>
      <c r="AD31" s="324"/>
      <c r="AE31" s="324"/>
      <c r="AF31" s="324"/>
      <c r="AG31" s="325"/>
      <c r="AH31" s="314"/>
      <c r="AI31" s="315"/>
      <c r="AJ31" s="315"/>
      <c r="AK31" s="315"/>
      <c r="AL31" s="315"/>
      <c r="AM31" s="316"/>
      <c r="AN31" s="82"/>
      <c r="AO31" s="375"/>
      <c r="AP31" s="376"/>
      <c r="AQ31" s="376"/>
      <c r="AR31" s="376"/>
      <c r="AS31" s="376"/>
      <c r="AT31" s="377"/>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343"/>
      <c r="C32" s="343"/>
      <c r="D32" s="344"/>
      <c r="E32" s="336"/>
      <c r="F32" s="337"/>
      <c r="G32" s="337"/>
      <c r="H32" s="337"/>
      <c r="I32" s="337"/>
      <c r="J32" s="296" t="str">
        <f>IF(AND('Mapa final'!$H$28="Baja",'Mapa final'!$L$28="Leve"),CONCATENATE("R",'Mapa final'!$A$28),"")</f>
        <v/>
      </c>
      <c r="K32" s="297"/>
      <c r="L32" s="297" t="str">
        <f>IF(AND('Mapa final'!$H$34="Baja",'Mapa final'!$L$34="Leve"),CONCATENATE("R",'Mapa final'!$A$34),"")</f>
        <v/>
      </c>
      <c r="M32" s="297"/>
      <c r="N32" s="297" t="str">
        <f>IF(AND('Mapa final'!$H$40="Baja",'Mapa final'!$L$40="Leve"),CONCATENATE("R",'Mapa final'!$A$40),"")</f>
        <v/>
      </c>
      <c r="O32" s="298"/>
      <c r="P32" s="306" t="str">
        <f>IF(AND('Mapa final'!$H$28="Baja",'Mapa final'!$L$28="Menor"),CONCATENATE("R",'Mapa final'!$A$28),"")</f>
        <v/>
      </c>
      <c r="Q32" s="306"/>
      <c r="R32" s="306" t="str">
        <f>IF(AND('Mapa final'!$H$34="Baja",'Mapa final'!$L$34="Menor"),CONCATENATE("R",'Mapa final'!$A$34),"")</f>
        <v/>
      </c>
      <c r="S32" s="306"/>
      <c r="T32" s="306" t="str">
        <f>IF(AND('Mapa final'!$H$40="Baja",'Mapa final'!$L$40="Menor"),CONCATENATE("R",'Mapa final'!$A$40),"")</f>
        <v/>
      </c>
      <c r="U32" s="307"/>
      <c r="V32" s="305" t="str">
        <f>IF(AND('Mapa final'!$H$28="Baja",'Mapa final'!$L$28="Moderado"),CONCATENATE("R",'Mapa final'!$A$28),"")</f>
        <v/>
      </c>
      <c r="W32" s="306"/>
      <c r="X32" s="306" t="str">
        <f>IF(AND('Mapa final'!$H$34="Baja",'Mapa final'!$L$34="Moderado"),CONCATENATE("R",'Mapa final'!$A$34),"")</f>
        <v/>
      </c>
      <c r="Y32" s="306"/>
      <c r="Z32" s="306" t="str">
        <f>IF(AND('Mapa final'!$H$40="Baja",'Mapa final'!$L$40="Moderado"),CONCATENATE("R",'Mapa final'!$A$40),"")</f>
        <v/>
      </c>
      <c r="AA32" s="307"/>
      <c r="AB32" s="323" t="str">
        <f>IF(AND('Mapa final'!$H$28="Baja",'Mapa final'!$L$28="Mayor"),CONCATENATE("R",'Mapa final'!$A$28),"")</f>
        <v/>
      </c>
      <c r="AC32" s="324"/>
      <c r="AD32" s="324" t="str">
        <f>IF(AND('Mapa final'!$H$34="Baja",'Mapa final'!$L$34="Mayor"),CONCATENATE("R",'Mapa final'!$A$34),"")</f>
        <v/>
      </c>
      <c r="AE32" s="324"/>
      <c r="AF32" s="324" t="str">
        <f>IF(AND('Mapa final'!$H$40="Baja",'Mapa final'!$L$40="Mayor"),CONCATENATE("R",'Mapa final'!$A$40),"")</f>
        <v/>
      </c>
      <c r="AG32" s="325"/>
      <c r="AH32" s="314" t="str">
        <f>IF(AND('Mapa final'!$H$28="Baja",'Mapa final'!$L$28="Catastrófico"),CONCATENATE("R",'Mapa final'!$A$28),"")</f>
        <v/>
      </c>
      <c r="AI32" s="315"/>
      <c r="AJ32" s="315" t="str">
        <f>IF(AND('Mapa final'!$H$34="Baja",'Mapa final'!$L$34="Catastrófico"),CONCATENATE("R",'Mapa final'!$A$34),"")</f>
        <v/>
      </c>
      <c r="AK32" s="315"/>
      <c r="AL32" s="315" t="str">
        <f>IF(AND('Mapa final'!$H$40="Baja",'Mapa final'!$L$40="Catastrófico"),CONCATENATE("R",'Mapa final'!$A$40),"")</f>
        <v/>
      </c>
      <c r="AM32" s="316"/>
      <c r="AN32" s="82"/>
      <c r="AO32" s="375"/>
      <c r="AP32" s="376"/>
      <c r="AQ32" s="376"/>
      <c r="AR32" s="376"/>
      <c r="AS32" s="376"/>
      <c r="AT32" s="377"/>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343"/>
      <c r="C33" s="343"/>
      <c r="D33" s="344"/>
      <c r="E33" s="336"/>
      <c r="F33" s="337"/>
      <c r="G33" s="337"/>
      <c r="H33" s="337"/>
      <c r="I33" s="337"/>
      <c r="J33" s="296"/>
      <c r="K33" s="297"/>
      <c r="L33" s="297"/>
      <c r="M33" s="297"/>
      <c r="N33" s="297"/>
      <c r="O33" s="298"/>
      <c r="P33" s="306"/>
      <c r="Q33" s="306"/>
      <c r="R33" s="306"/>
      <c r="S33" s="306"/>
      <c r="T33" s="306"/>
      <c r="U33" s="307"/>
      <c r="V33" s="305"/>
      <c r="W33" s="306"/>
      <c r="X33" s="306"/>
      <c r="Y33" s="306"/>
      <c r="Z33" s="306"/>
      <c r="AA33" s="307"/>
      <c r="AB33" s="323"/>
      <c r="AC33" s="324"/>
      <c r="AD33" s="324"/>
      <c r="AE33" s="324"/>
      <c r="AF33" s="324"/>
      <c r="AG33" s="325"/>
      <c r="AH33" s="314"/>
      <c r="AI33" s="315"/>
      <c r="AJ33" s="315"/>
      <c r="AK33" s="315"/>
      <c r="AL33" s="315"/>
      <c r="AM33" s="316"/>
      <c r="AN33" s="82"/>
      <c r="AO33" s="375"/>
      <c r="AP33" s="376"/>
      <c r="AQ33" s="376"/>
      <c r="AR33" s="376"/>
      <c r="AS33" s="376"/>
      <c r="AT33" s="377"/>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343"/>
      <c r="C34" s="343"/>
      <c r="D34" s="344"/>
      <c r="E34" s="336"/>
      <c r="F34" s="337"/>
      <c r="G34" s="337"/>
      <c r="H34" s="337"/>
      <c r="I34" s="337"/>
      <c r="J34" s="296" t="str">
        <f>IF(AND('Mapa final'!$H$46="Baja",'Mapa final'!$L$46="Leve"),CONCATENATE("R",'Mapa final'!$A$46),"")</f>
        <v/>
      </c>
      <c r="K34" s="297"/>
      <c r="L34" s="297" t="str">
        <f>IF(AND('Mapa final'!$H$52="Baja",'Mapa final'!$L$52="Leve"),CONCATENATE("R",'Mapa final'!$A$52),"")</f>
        <v/>
      </c>
      <c r="M34" s="297"/>
      <c r="N34" s="297" t="str">
        <f>IF(AND('Mapa final'!$H$58="Baja",'Mapa final'!$L$58="Leve"),CONCATENATE("R",'Mapa final'!$A$58),"")</f>
        <v/>
      </c>
      <c r="O34" s="298"/>
      <c r="P34" s="306" t="str">
        <f>IF(AND('Mapa final'!$H$46="Baja",'Mapa final'!$L$46="Menor"),CONCATENATE("R",'Mapa final'!$A$46),"")</f>
        <v/>
      </c>
      <c r="Q34" s="306"/>
      <c r="R34" s="306" t="str">
        <f>IF(AND('Mapa final'!$H$52="Baja",'Mapa final'!$L$52="Menor"),CONCATENATE("R",'Mapa final'!$A$52),"")</f>
        <v/>
      </c>
      <c r="S34" s="306"/>
      <c r="T34" s="306" t="str">
        <f>IF(AND('Mapa final'!$H$58="Baja",'Mapa final'!$L$58="Menor"),CONCATENATE("R",'Mapa final'!$A$58),"")</f>
        <v/>
      </c>
      <c r="U34" s="307"/>
      <c r="V34" s="305" t="str">
        <f>IF(AND('Mapa final'!$H$46="Baja",'Mapa final'!$L$46="Moderado"),CONCATENATE("R",'Mapa final'!$A$46),"")</f>
        <v/>
      </c>
      <c r="W34" s="306"/>
      <c r="X34" s="306" t="str">
        <f>IF(AND('Mapa final'!$H$52="Baja",'Mapa final'!$L$52="Moderado"),CONCATENATE("R",'Mapa final'!$A$52),"")</f>
        <v/>
      </c>
      <c r="Y34" s="306"/>
      <c r="Z34" s="306" t="str">
        <f>IF(AND('Mapa final'!$H$58="Baja",'Mapa final'!$L$58="Moderado"),CONCATENATE("R",'Mapa final'!$A$58),"")</f>
        <v/>
      </c>
      <c r="AA34" s="307"/>
      <c r="AB34" s="323" t="str">
        <f>IF(AND('Mapa final'!$H$46="Baja",'Mapa final'!$L$46="Mayor"),CONCATENATE("R",'Mapa final'!$A$46),"")</f>
        <v/>
      </c>
      <c r="AC34" s="324"/>
      <c r="AD34" s="324" t="str">
        <f>IF(AND('Mapa final'!$H$52="Baja",'Mapa final'!$L$52="Mayor"),CONCATENATE("R",'Mapa final'!$A$52),"")</f>
        <v/>
      </c>
      <c r="AE34" s="324"/>
      <c r="AF34" s="324" t="str">
        <f>IF(AND('Mapa final'!$H$58="Baja",'Mapa final'!$L$58="Mayor"),CONCATENATE("R",'Mapa final'!$A$58),"")</f>
        <v/>
      </c>
      <c r="AG34" s="325"/>
      <c r="AH34" s="314" t="str">
        <f>IF(AND('Mapa final'!$H$46="Baja",'Mapa final'!$L$46="Catastrófico"),CONCATENATE("R",'Mapa final'!$A$46),"")</f>
        <v/>
      </c>
      <c r="AI34" s="315"/>
      <c r="AJ34" s="315" t="str">
        <f>IF(AND('Mapa final'!$H$52="Baja",'Mapa final'!$L$52="Catastrófico"),CONCATENATE("R",'Mapa final'!$A$52),"")</f>
        <v/>
      </c>
      <c r="AK34" s="315"/>
      <c r="AL34" s="315" t="str">
        <f>IF(AND('Mapa final'!$H$58="Baja",'Mapa final'!$L$58="Catastrófico"),CONCATENATE("R",'Mapa final'!$A$58),"")</f>
        <v/>
      </c>
      <c r="AM34" s="316"/>
      <c r="AN34" s="82"/>
      <c r="AO34" s="375"/>
      <c r="AP34" s="376"/>
      <c r="AQ34" s="376"/>
      <c r="AR34" s="376"/>
      <c r="AS34" s="376"/>
      <c r="AT34" s="377"/>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343"/>
      <c r="C35" s="343"/>
      <c r="D35" s="344"/>
      <c r="E35" s="336"/>
      <c r="F35" s="337"/>
      <c r="G35" s="337"/>
      <c r="H35" s="337"/>
      <c r="I35" s="337"/>
      <c r="J35" s="296"/>
      <c r="K35" s="297"/>
      <c r="L35" s="297"/>
      <c r="M35" s="297"/>
      <c r="N35" s="297"/>
      <c r="O35" s="298"/>
      <c r="P35" s="306"/>
      <c r="Q35" s="306"/>
      <c r="R35" s="306"/>
      <c r="S35" s="306"/>
      <c r="T35" s="306"/>
      <c r="U35" s="307"/>
      <c r="V35" s="305"/>
      <c r="W35" s="306"/>
      <c r="X35" s="306"/>
      <c r="Y35" s="306"/>
      <c r="Z35" s="306"/>
      <c r="AA35" s="307"/>
      <c r="AB35" s="323"/>
      <c r="AC35" s="324"/>
      <c r="AD35" s="324"/>
      <c r="AE35" s="324"/>
      <c r="AF35" s="324"/>
      <c r="AG35" s="325"/>
      <c r="AH35" s="314"/>
      <c r="AI35" s="315"/>
      <c r="AJ35" s="315"/>
      <c r="AK35" s="315"/>
      <c r="AL35" s="315"/>
      <c r="AM35" s="316"/>
      <c r="AN35" s="82"/>
      <c r="AO35" s="375"/>
      <c r="AP35" s="376"/>
      <c r="AQ35" s="376"/>
      <c r="AR35" s="376"/>
      <c r="AS35" s="376"/>
      <c r="AT35" s="377"/>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343"/>
      <c r="C36" s="343"/>
      <c r="D36" s="344"/>
      <c r="E36" s="336"/>
      <c r="F36" s="337"/>
      <c r="G36" s="337"/>
      <c r="H36" s="337"/>
      <c r="I36" s="337"/>
      <c r="J36" s="296" t="str">
        <f>IF(AND('Mapa final'!$H$64="Baja",'Mapa final'!$L$64="Leve"),CONCATENATE("R",'Mapa final'!$A$64),"")</f>
        <v/>
      </c>
      <c r="K36" s="297"/>
      <c r="L36" s="297" t="str">
        <f>IF(AND('Mapa final'!$H$70="Baja",'Mapa final'!$L$70="Leve"),CONCATENATE("R",'Mapa final'!$A$70),"")</f>
        <v/>
      </c>
      <c r="M36" s="297"/>
      <c r="N36" s="297" t="str">
        <f>IF(AND('Mapa final'!$H$76="Baja",'Mapa final'!$L$76="Leve"),CONCATENATE("R",'Mapa final'!$A$76),"")</f>
        <v/>
      </c>
      <c r="O36" s="298"/>
      <c r="P36" s="306" t="str">
        <f>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323" t="str">
        <f>IF(AND('Mapa final'!$H$64="Baja",'Mapa final'!$L$64="Mayor"),CONCATENATE("R",'Mapa final'!$A$64),"")</f>
        <v/>
      </c>
      <c r="AC36" s="324"/>
      <c r="AD36" s="324" t="str">
        <f>IF(AND('Mapa final'!$H$70="Baja",'Mapa final'!$L$70="Mayor"),CONCATENATE("R",'Mapa final'!$A$70),"")</f>
        <v/>
      </c>
      <c r="AE36" s="324"/>
      <c r="AF36" s="324" t="str">
        <f>IF(AND('Mapa final'!$H$76="Baja",'Mapa final'!$L$76="Mayor"),CONCATENATE("R",'Mapa final'!$A$76),"")</f>
        <v/>
      </c>
      <c r="AG36" s="325"/>
      <c r="AH36" s="314" t="str">
        <f>IF(AND('Mapa final'!$H$64="Baja",'Mapa final'!$L$64="Catastrófico"),CONCATENATE("R",'Mapa final'!$A$64),"")</f>
        <v/>
      </c>
      <c r="AI36" s="315"/>
      <c r="AJ36" s="315" t="str">
        <f>IF(AND('Mapa final'!$H$70="Baja",'Mapa final'!$L$70="Catastrófico"),CONCATENATE("R",'Mapa final'!$A$70),"")</f>
        <v/>
      </c>
      <c r="AK36" s="315"/>
      <c r="AL36" s="315" t="str">
        <f>IF(AND('Mapa final'!$H$76="Baja",'Mapa final'!$L$76="Catastrófico"),CONCATENATE("R",'Mapa final'!$A$76),"")</f>
        <v/>
      </c>
      <c r="AM36" s="316"/>
      <c r="AN36" s="82"/>
      <c r="AO36" s="375"/>
      <c r="AP36" s="376"/>
      <c r="AQ36" s="376"/>
      <c r="AR36" s="376"/>
      <c r="AS36" s="376"/>
      <c r="AT36" s="377"/>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343"/>
      <c r="C37" s="343"/>
      <c r="D37" s="344"/>
      <c r="E37" s="339"/>
      <c r="F37" s="340"/>
      <c r="G37" s="340"/>
      <c r="H37" s="340"/>
      <c r="I37" s="340"/>
      <c r="J37" s="299"/>
      <c r="K37" s="300"/>
      <c r="L37" s="300"/>
      <c r="M37" s="300"/>
      <c r="N37" s="300"/>
      <c r="O37" s="301"/>
      <c r="P37" s="309"/>
      <c r="Q37" s="309"/>
      <c r="R37" s="309"/>
      <c r="S37" s="309"/>
      <c r="T37" s="309"/>
      <c r="U37" s="310"/>
      <c r="V37" s="308"/>
      <c r="W37" s="309"/>
      <c r="X37" s="309"/>
      <c r="Y37" s="309"/>
      <c r="Z37" s="309"/>
      <c r="AA37" s="310"/>
      <c r="AB37" s="326"/>
      <c r="AC37" s="327"/>
      <c r="AD37" s="327"/>
      <c r="AE37" s="327"/>
      <c r="AF37" s="327"/>
      <c r="AG37" s="328"/>
      <c r="AH37" s="317"/>
      <c r="AI37" s="318"/>
      <c r="AJ37" s="318"/>
      <c r="AK37" s="318"/>
      <c r="AL37" s="318"/>
      <c r="AM37" s="319"/>
      <c r="AN37" s="82"/>
      <c r="AO37" s="378"/>
      <c r="AP37" s="379"/>
      <c r="AQ37" s="379"/>
      <c r="AR37" s="379"/>
      <c r="AS37" s="379"/>
      <c r="AT37" s="380"/>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343"/>
      <c r="C38" s="343"/>
      <c r="D38" s="344"/>
      <c r="E38" s="333" t="s">
        <v>112</v>
      </c>
      <c r="F38" s="334"/>
      <c r="G38" s="334"/>
      <c r="H38" s="334"/>
      <c r="I38" s="335"/>
      <c r="J38" s="302" t="str">
        <f>IF(AND('Mapa final'!$H$10="Muy Baja",'Mapa final'!$L$10="Leve"),CONCATENATE("R",'Mapa final'!$A$10),"")</f>
        <v/>
      </c>
      <c r="K38" s="303"/>
      <c r="L38" s="303" t="str">
        <f>IF(AND('Mapa final'!$H$16="Muy Baja",'Mapa final'!$L$16="Leve"),CONCATENATE("R",'Mapa final'!$A$16),"")</f>
        <v/>
      </c>
      <c r="M38" s="303"/>
      <c r="N38" s="303" t="str">
        <f>IF(AND('Mapa final'!$H$22="Muy Baja",'Mapa final'!$L$22="Leve"),CONCATENATE("R",'Mapa final'!$A$22),"")</f>
        <v/>
      </c>
      <c r="O38" s="304"/>
      <c r="P38" s="302" t="str">
        <f>IF(AND('Mapa final'!$H$10="Muy Baja",'Mapa final'!$L$10="Menor"),CONCATENATE("R",'Mapa final'!$A$10),"")</f>
        <v/>
      </c>
      <c r="Q38" s="303"/>
      <c r="R38" s="303" t="str">
        <f>IF(AND('Mapa final'!$H$16="Muy Baja",'Mapa final'!$L$16="Menor"),CONCATENATE("R",'Mapa final'!$A$16),"")</f>
        <v/>
      </c>
      <c r="S38" s="303"/>
      <c r="T38" s="303" t="str">
        <f>IF(AND('Mapa final'!$H$22="Muy Baja",'Mapa final'!$L$22="Menor"),CONCATENATE("R",'Mapa final'!$A$22),"")</f>
        <v/>
      </c>
      <c r="U38" s="304"/>
      <c r="V38" s="311" t="str">
        <f>IF(AND('Mapa final'!$H$10="Muy Baja",'Mapa final'!$L$10="Moderado"),CONCATENATE("R",'Mapa final'!$A$10),"")</f>
        <v/>
      </c>
      <c r="W38" s="312"/>
      <c r="X38" s="312" t="str">
        <f>IF(AND('Mapa final'!$H$16="Muy Baja",'Mapa final'!$L$16="Moderado"),CONCATENATE("R",'Mapa final'!$A$16),"")</f>
        <v/>
      </c>
      <c r="Y38" s="312"/>
      <c r="Z38" s="312" t="str">
        <f>IF(AND('Mapa final'!$H$22="Muy Baja",'Mapa final'!$L$22="Moderado"),CONCATENATE("R",'Mapa final'!$A$22),"")</f>
        <v/>
      </c>
      <c r="AA38" s="313"/>
      <c r="AB38" s="329" t="str">
        <f>IF(AND('Mapa final'!$H$10="Muy Baja",'Mapa final'!$L$10="Mayor"),CONCATENATE("R",'Mapa final'!$A$10),"")</f>
        <v/>
      </c>
      <c r="AC38" s="330"/>
      <c r="AD38" s="330" t="str">
        <f>IF(AND('Mapa final'!$H$16="Muy Baja",'Mapa final'!$L$16="Mayor"),CONCATENATE("R",'Mapa final'!$A$16),"")</f>
        <v/>
      </c>
      <c r="AE38" s="330"/>
      <c r="AF38" s="330" t="str">
        <f>IF(AND('Mapa final'!$H$22="Muy Baja",'Mapa final'!$L$22="Mayor"),CONCATENATE("R",'Mapa final'!$A$22),"")</f>
        <v/>
      </c>
      <c r="AG38" s="331"/>
      <c r="AH38" s="320" t="str">
        <f>IF(AND('Mapa final'!$H$10="Muy Baja",'Mapa final'!$L$10="Catastrófico"),CONCATENATE("R",'Mapa final'!$A$10),"")</f>
        <v/>
      </c>
      <c r="AI38" s="321"/>
      <c r="AJ38" s="321" t="str">
        <f>IF(AND('Mapa final'!$H$16="Muy Baja",'Mapa final'!$L$16="Catastrófico"),CONCATENATE("R",'Mapa final'!$A$16),"")</f>
        <v/>
      </c>
      <c r="AK38" s="321"/>
      <c r="AL38" s="321" t="str">
        <f>IF(AND('Mapa final'!$H$22="Muy Baja",'Mapa final'!$L$22="Catastrófico"),CONCATENATE("R",'Mapa final'!$A$22),"")</f>
        <v/>
      </c>
      <c r="AM38" s="32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343"/>
      <c r="C39" s="343"/>
      <c r="D39" s="344"/>
      <c r="E39" s="336"/>
      <c r="F39" s="337"/>
      <c r="G39" s="337"/>
      <c r="H39" s="337"/>
      <c r="I39" s="338"/>
      <c r="J39" s="296"/>
      <c r="K39" s="297"/>
      <c r="L39" s="297"/>
      <c r="M39" s="297"/>
      <c r="N39" s="297"/>
      <c r="O39" s="298"/>
      <c r="P39" s="296"/>
      <c r="Q39" s="297"/>
      <c r="R39" s="297"/>
      <c r="S39" s="297"/>
      <c r="T39" s="297"/>
      <c r="U39" s="298"/>
      <c r="V39" s="305"/>
      <c r="W39" s="306"/>
      <c r="X39" s="306"/>
      <c r="Y39" s="306"/>
      <c r="Z39" s="306"/>
      <c r="AA39" s="307"/>
      <c r="AB39" s="323"/>
      <c r="AC39" s="324"/>
      <c r="AD39" s="324"/>
      <c r="AE39" s="324"/>
      <c r="AF39" s="324"/>
      <c r="AG39" s="325"/>
      <c r="AH39" s="314"/>
      <c r="AI39" s="315"/>
      <c r="AJ39" s="315"/>
      <c r="AK39" s="315"/>
      <c r="AL39" s="315"/>
      <c r="AM39" s="316"/>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343"/>
      <c r="C40" s="343"/>
      <c r="D40" s="344"/>
      <c r="E40" s="336"/>
      <c r="F40" s="337"/>
      <c r="G40" s="337"/>
      <c r="H40" s="337"/>
      <c r="I40" s="338"/>
      <c r="J40" s="296" t="str">
        <f>IF(AND('Mapa final'!$H$28="Muy Baja",'Mapa final'!$L$28="Leve"),CONCATENATE("R",'Mapa final'!$A$28),"")</f>
        <v/>
      </c>
      <c r="K40" s="297"/>
      <c r="L40" s="297" t="str">
        <f>IF(AND('Mapa final'!$H$34="Muy Baja",'Mapa final'!$L$34="Leve"),CONCATENATE("R",'Mapa final'!$A$34),"")</f>
        <v/>
      </c>
      <c r="M40" s="297"/>
      <c r="N40" s="297" t="str">
        <f>IF(AND('Mapa final'!$H$40="Muy Baja",'Mapa final'!$L$40="Leve"),CONCATENATE("R",'Mapa final'!$A$40),"")</f>
        <v/>
      </c>
      <c r="O40" s="298"/>
      <c r="P40" s="296" t="str">
        <f>IF(AND('Mapa final'!$H$28="Muy Baja",'Mapa final'!$L$28="Menor"),CONCATENATE("R",'Mapa final'!$A$28),"")</f>
        <v/>
      </c>
      <c r="Q40" s="297"/>
      <c r="R40" s="297" t="str">
        <f>IF(AND('Mapa final'!$H$34="Muy Baja",'Mapa final'!$L$34="Menor"),CONCATENATE("R",'Mapa final'!$A$34),"")</f>
        <v/>
      </c>
      <c r="S40" s="297"/>
      <c r="T40" s="297" t="str">
        <f>IF(AND('Mapa final'!$H$40="Muy Baja",'Mapa final'!$L$40="Menor"),CONCATENATE("R",'Mapa final'!$A$40),"")</f>
        <v/>
      </c>
      <c r="U40" s="298"/>
      <c r="V40" s="305" t="str">
        <f>IF(AND('Mapa final'!$H$28="Muy Baja",'Mapa final'!$L$28="Moderado"),CONCATENATE("R",'Mapa final'!$A$28),"")</f>
        <v/>
      </c>
      <c r="W40" s="306"/>
      <c r="X40" s="306" t="str">
        <f>IF(AND('Mapa final'!$H$34="Muy Baja",'Mapa final'!$L$34="Moderado"),CONCATENATE("R",'Mapa final'!$A$34),"")</f>
        <v/>
      </c>
      <c r="Y40" s="306"/>
      <c r="Z40" s="306" t="str">
        <f>IF(AND('Mapa final'!$H$40="Muy Baja",'Mapa final'!$L$40="Moderado"),CONCATENATE("R",'Mapa final'!$A$40),"")</f>
        <v/>
      </c>
      <c r="AA40" s="307"/>
      <c r="AB40" s="323" t="str">
        <f>IF(AND('Mapa final'!$H$28="Muy Baja",'Mapa final'!$L$28="Mayor"),CONCATENATE("R",'Mapa final'!$A$28),"")</f>
        <v/>
      </c>
      <c r="AC40" s="324"/>
      <c r="AD40" s="324" t="str">
        <f>IF(AND('Mapa final'!$H$34="Muy Baja",'Mapa final'!$L$34="Mayor"),CONCATENATE("R",'Mapa final'!$A$34),"")</f>
        <v/>
      </c>
      <c r="AE40" s="324"/>
      <c r="AF40" s="324" t="str">
        <f>IF(AND('Mapa final'!$H$40="Muy Baja",'Mapa final'!$L$40="Mayor"),CONCATENATE("R",'Mapa final'!$A$40),"")</f>
        <v/>
      </c>
      <c r="AG40" s="325"/>
      <c r="AH40" s="314" t="str">
        <f>IF(AND('Mapa final'!$H$28="Muy Baja",'Mapa final'!$L$28="Catastrófico"),CONCATENATE("R",'Mapa final'!$A$28),"")</f>
        <v/>
      </c>
      <c r="AI40" s="315"/>
      <c r="AJ40" s="315" t="str">
        <f>IF(AND('Mapa final'!$H$34="Muy Baja",'Mapa final'!$L$34="Catastrófico"),CONCATENATE("R",'Mapa final'!$A$34),"")</f>
        <v/>
      </c>
      <c r="AK40" s="315"/>
      <c r="AL40" s="315" t="str">
        <f>IF(AND('Mapa final'!$H$40="Muy Baja",'Mapa final'!$L$40="Catastrófico"),CONCATENATE("R",'Mapa final'!$A$40),"")</f>
        <v/>
      </c>
      <c r="AM40" s="316"/>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343"/>
      <c r="C41" s="343"/>
      <c r="D41" s="344"/>
      <c r="E41" s="336"/>
      <c r="F41" s="337"/>
      <c r="G41" s="337"/>
      <c r="H41" s="337"/>
      <c r="I41" s="338"/>
      <c r="J41" s="296"/>
      <c r="K41" s="297"/>
      <c r="L41" s="297"/>
      <c r="M41" s="297"/>
      <c r="N41" s="297"/>
      <c r="O41" s="298"/>
      <c r="P41" s="296"/>
      <c r="Q41" s="297"/>
      <c r="R41" s="297"/>
      <c r="S41" s="297"/>
      <c r="T41" s="297"/>
      <c r="U41" s="298"/>
      <c r="V41" s="305"/>
      <c r="W41" s="306"/>
      <c r="X41" s="306"/>
      <c r="Y41" s="306"/>
      <c r="Z41" s="306"/>
      <c r="AA41" s="307"/>
      <c r="AB41" s="323"/>
      <c r="AC41" s="324"/>
      <c r="AD41" s="324"/>
      <c r="AE41" s="324"/>
      <c r="AF41" s="324"/>
      <c r="AG41" s="325"/>
      <c r="AH41" s="314"/>
      <c r="AI41" s="315"/>
      <c r="AJ41" s="315"/>
      <c r="AK41" s="315"/>
      <c r="AL41" s="315"/>
      <c r="AM41" s="316"/>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343"/>
      <c r="C42" s="343"/>
      <c r="D42" s="344"/>
      <c r="E42" s="336"/>
      <c r="F42" s="337"/>
      <c r="G42" s="337"/>
      <c r="H42" s="337"/>
      <c r="I42" s="338"/>
      <c r="J42" s="296" t="str">
        <f>IF(AND('Mapa final'!$H$46="Muy Baja",'Mapa final'!$L$46="Leve"),CONCATENATE("R",'Mapa final'!$A$46),"")</f>
        <v/>
      </c>
      <c r="K42" s="297"/>
      <c r="L42" s="297" t="str">
        <f>IF(AND('Mapa final'!$H$52="Muy Baja",'Mapa final'!$L$52="Leve"),CONCATENATE("R",'Mapa final'!$A$52),"")</f>
        <v/>
      </c>
      <c r="M42" s="297"/>
      <c r="N42" s="297" t="str">
        <f>IF(AND('Mapa final'!$H$58="Muy Baja",'Mapa final'!$L$58="Leve"),CONCATENATE("R",'Mapa final'!$A$58),"")</f>
        <v/>
      </c>
      <c r="O42" s="298"/>
      <c r="P42" s="296" t="str">
        <f>IF(AND('Mapa final'!$H$46="Muy Baja",'Mapa final'!$L$46="Menor"),CONCATENATE("R",'Mapa final'!$A$46),"")</f>
        <v/>
      </c>
      <c r="Q42" s="297"/>
      <c r="R42" s="297" t="str">
        <f>IF(AND('Mapa final'!$H$52="Muy Baja",'Mapa final'!$L$52="Menor"),CONCATENATE("R",'Mapa final'!$A$52),"")</f>
        <v/>
      </c>
      <c r="S42" s="297"/>
      <c r="T42" s="297" t="str">
        <f>IF(AND('Mapa final'!$H$58="Muy Baja",'Mapa final'!$L$58="Menor"),CONCATENATE("R",'Mapa final'!$A$58),"")</f>
        <v/>
      </c>
      <c r="U42" s="298"/>
      <c r="V42" s="305" t="str">
        <f>IF(AND('Mapa final'!$H$46="Muy Baja",'Mapa final'!$L$46="Moderado"),CONCATENATE("R",'Mapa final'!$A$46),"")</f>
        <v/>
      </c>
      <c r="W42" s="306"/>
      <c r="X42" s="306" t="str">
        <f>IF(AND('Mapa final'!$H$52="Muy Baja",'Mapa final'!$L$52="Moderado"),CONCATENATE("R",'Mapa final'!$A$52),"")</f>
        <v/>
      </c>
      <c r="Y42" s="306"/>
      <c r="Z42" s="306" t="str">
        <f>IF(AND('Mapa final'!$H$58="Muy Baja",'Mapa final'!$L$58="Moderado"),CONCATENATE("R",'Mapa final'!$A$58),"")</f>
        <v/>
      </c>
      <c r="AA42" s="307"/>
      <c r="AB42" s="323" t="str">
        <f>IF(AND('Mapa final'!$H$46="Muy Baja",'Mapa final'!$L$46="Mayor"),CONCATENATE("R",'Mapa final'!$A$46),"")</f>
        <v/>
      </c>
      <c r="AC42" s="324"/>
      <c r="AD42" s="324" t="str">
        <f>IF(AND('Mapa final'!$H$52="Muy Baja",'Mapa final'!$L$52="Mayor"),CONCATENATE("R",'Mapa final'!$A$52),"")</f>
        <v/>
      </c>
      <c r="AE42" s="324"/>
      <c r="AF42" s="324" t="str">
        <f>IF(AND('Mapa final'!$H$58="Muy Baja",'Mapa final'!$L$58="Mayor"),CONCATENATE("R",'Mapa final'!$A$58),"")</f>
        <v/>
      </c>
      <c r="AG42" s="325"/>
      <c r="AH42" s="314" t="str">
        <f>IF(AND('Mapa final'!$H$46="Muy Baja",'Mapa final'!$L$46="Catastrófico"),CONCATENATE("R",'Mapa final'!$A$46),"")</f>
        <v/>
      </c>
      <c r="AI42" s="315"/>
      <c r="AJ42" s="315" t="str">
        <f>IF(AND('Mapa final'!$H$52="Muy Baja",'Mapa final'!$L$52="Catastrófico"),CONCATENATE("R",'Mapa final'!$A$52),"")</f>
        <v/>
      </c>
      <c r="AK42" s="315"/>
      <c r="AL42" s="315" t="str">
        <f>IF(AND('Mapa final'!$H$58="Muy Baja",'Mapa final'!$L$58="Catastrófico"),CONCATENATE("R",'Mapa final'!$A$58),"")</f>
        <v/>
      </c>
      <c r="AM42" s="316"/>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343"/>
      <c r="C43" s="343"/>
      <c r="D43" s="344"/>
      <c r="E43" s="336"/>
      <c r="F43" s="337"/>
      <c r="G43" s="337"/>
      <c r="H43" s="337"/>
      <c r="I43" s="338"/>
      <c r="J43" s="296"/>
      <c r="K43" s="297"/>
      <c r="L43" s="297"/>
      <c r="M43" s="297"/>
      <c r="N43" s="297"/>
      <c r="O43" s="298"/>
      <c r="P43" s="296"/>
      <c r="Q43" s="297"/>
      <c r="R43" s="297"/>
      <c r="S43" s="297"/>
      <c r="T43" s="297"/>
      <c r="U43" s="298"/>
      <c r="V43" s="305"/>
      <c r="W43" s="306"/>
      <c r="X43" s="306"/>
      <c r="Y43" s="306"/>
      <c r="Z43" s="306"/>
      <c r="AA43" s="307"/>
      <c r="AB43" s="323"/>
      <c r="AC43" s="324"/>
      <c r="AD43" s="324"/>
      <c r="AE43" s="324"/>
      <c r="AF43" s="324"/>
      <c r="AG43" s="325"/>
      <c r="AH43" s="314"/>
      <c r="AI43" s="315"/>
      <c r="AJ43" s="315"/>
      <c r="AK43" s="315"/>
      <c r="AL43" s="315"/>
      <c r="AM43" s="316"/>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343"/>
      <c r="C44" s="343"/>
      <c r="D44" s="344"/>
      <c r="E44" s="336"/>
      <c r="F44" s="337"/>
      <c r="G44" s="337"/>
      <c r="H44" s="337"/>
      <c r="I44" s="338"/>
      <c r="J44" s="296" t="str">
        <f>IF(AND('Mapa final'!$H$64="Muy Baja",'Mapa final'!$L$64="Leve"),CONCATENATE("R",'Mapa final'!$A$64),"")</f>
        <v/>
      </c>
      <c r="K44" s="297"/>
      <c r="L44" s="297" t="str">
        <f>IF(AND('Mapa final'!$H$70="Muy Baja",'Mapa final'!$L$70="Leve"),CONCATENATE("R",'Mapa final'!$A$70),"")</f>
        <v/>
      </c>
      <c r="M44" s="297"/>
      <c r="N44" s="297" t="str">
        <f>IF(AND('Mapa final'!$H$76="Muy Baja",'Mapa final'!$L$76="Leve"),CONCATENATE("R",'Mapa final'!$A$76),"")</f>
        <v/>
      </c>
      <c r="O44" s="298"/>
      <c r="P44" s="296" t="str">
        <f>IF(AND('Mapa final'!$H$64="Muy Baja",'Mapa final'!$L$64="Menor"),CONCATENATE("R",'Mapa final'!$A$64),"")</f>
        <v/>
      </c>
      <c r="Q44" s="297"/>
      <c r="R44" s="297" t="str">
        <f>IF(AND('Mapa final'!$H$70="Muy Baja",'Mapa final'!$L$70="Menor"),CONCATENATE("R",'Mapa final'!$A$70),"")</f>
        <v/>
      </c>
      <c r="S44" s="297"/>
      <c r="T44" s="297" t="str">
        <f>IF(AND('Mapa final'!$H$76="Muy Baja",'Mapa final'!$L$76="Menor"),CONCATENATE("R",'Mapa final'!$A$76),"")</f>
        <v/>
      </c>
      <c r="U44" s="298"/>
      <c r="V44" s="305" t="str">
        <f>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323" t="str">
        <f>IF(AND('Mapa final'!$H$64="Muy Baja",'Mapa final'!$L$64="Mayor"),CONCATENATE("R",'Mapa final'!$A$64),"")</f>
        <v/>
      </c>
      <c r="AC44" s="324"/>
      <c r="AD44" s="324" t="str">
        <f>IF(AND('Mapa final'!$H$70="Muy Baja",'Mapa final'!$L$70="Mayor"),CONCATENATE("R",'Mapa final'!$A$70),"")</f>
        <v/>
      </c>
      <c r="AE44" s="324"/>
      <c r="AF44" s="324" t="str">
        <f>IF(AND('Mapa final'!$H$76="Muy Baja",'Mapa final'!$L$76="Mayor"),CONCATENATE("R",'Mapa final'!$A$76),"")</f>
        <v/>
      </c>
      <c r="AG44" s="325"/>
      <c r="AH44" s="314" t="str">
        <f>IF(AND('Mapa final'!$H$64="Muy Baja",'Mapa final'!$L$64="Catastrófico"),CONCATENATE("R",'Mapa final'!$A$64),"")</f>
        <v/>
      </c>
      <c r="AI44" s="315"/>
      <c r="AJ44" s="315" t="str">
        <f>IF(AND('Mapa final'!$H$70="Muy Baja",'Mapa final'!$L$70="Catastrófico"),CONCATENATE("R",'Mapa final'!$A$70),"")</f>
        <v/>
      </c>
      <c r="AK44" s="315"/>
      <c r="AL44" s="315" t="str">
        <f>IF(AND('Mapa final'!$H$76="Muy Baja",'Mapa final'!$L$76="Catastrófico"),CONCATENATE("R",'Mapa final'!$A$76),"")</f>
        <v/>
      </c>
      <c r="AM44" s="316"/>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343"/>
      <c r="C45" s="343"/>
      <c r="D45" s="344"/>
      <c r="E45" s="339"/>
      <c r="F45" s="340"/>
      <c r="G45" s="340"/>
      <c r="H45" s="340"/>
      <c r="I45" s="341"/>
      <c r="J45" s="299"/>
      <c r="K45" s="300"/>
      <c r="L45" s="300"/>
      <c r="M45" s="300"/>
      <c r="N45" s="300"/>
      <c r="O45" s="301"/>
      <c r="P45" s="299"/>
      <c r="Q45" s="300"/>
      <c r="R45" s="300"/>
      <c r="S45" s="300"/>
      <c r="T45" s="300"/>
      <c r="U45" s="301"/>
      <c r="V45" s="308"/>
      <c r="W45" s="309"/>
      <c r="X45" s="309"/>
      <c r="Y45" s="309"/>
      <c r="Z45" s="309"/>
      <c r="AA45" s="310"/>
      <c r="AB45" s="326"/>
      <c r="AC45" s="327"/>
      <c r="AD45" s="327"/>
      <c r="AE45" s="327"/>
      <c r="AF45" s="327"/>
      <c r="AG45" s="328"/>
      <c r="AH45" s="317"/>
      <c r="AI45" s="318"/>
      <c r="AJ45" s="318"/>
      <c r="AK45" s="318"/>
      <c r="AL45" s="318"/>
      <c r="AM45" s="319"/>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33" t="s">
        <v>111</v>
      </c>
      <c r="K46" s="334"/>
      <c r="L46" s="334"/>
      <c r="M46" s="334"/>
      <c r="N46" s="334"/>
      <c r="O46" s="335"/>
      <c r="P46" s="333" t="s">
        <v>110</v>
      </c>
      <c r="Q46" s="334"/>
      <c r="R46" s="334"/>
      <c r="S46" s="334"/>
      <c r="T46" s="334"/>
      <c r="U46" s="335"/>
      <c r="V46" s="333" t="s">
        <v>109</v>
      </c>
      <c r="W46" s="334"/>
      <c r="X46" s="334"/>
      <c r="Y46" s="334"/>
      <c r="Z46" s="334"/>
      <c r="AA46" s="335"/>
      <c r="AB46" s="333" t="s">
        <v>108</v>
      </c>
      <c r="AC46" s="342"/>
      <c r="AD46" s="334"/>
      <c r="AE46" s="334"/>
      <c r="AF46" s="334"/>
      <c r="AG46" s="335"/>
      <c r="AH46" s="333" t="s">
        <v>107</v>
      </c>
      <c r="AI46" s="334"/>
      <c r="AJ46" s="334"/>
      <c r="AK46" s="334"/>
      <c r="AL46" s="334"/>
      <c r="AM46" s="335"/>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36"/>
      <c r="K47" s="337"/>
      <c r="L47" s="337"/>
      <c r="M47" s="337"/>
      <c r="N47" s="337"/>
      <c r="O47" s="338"/>
      <c r="P47" s="336"/>
      <c r="Q47" s="337"/>
      <c r="R47" s="337"/>
      <c r="S47" s="337"/>
      <c r="T47" s="337"/>
      <c r="U47" s="338"/>
      <c r="V47" s="336"/>
      <c r="W47" s="337"/>
      <c r="X47" s="337"/>
      <c r="Y47" s="337"/>
      <c r="Z47" s="337"/>
      <c r="AA47" s="338"/>
      <c r="AB47" s="336"/>
      <c r="AC47" s="337"/>
      <c r="AD47" s="337"/>
      <c r="AE47" s="337"/>
      <c r="AF47" s="337"/>
      <c r="AG47" s="338"/>
      <c r="AH47" s="336"/>
      <c r="AI47" s="337"/>
      <c r="AJ47" s="337"/>
      <c r="AK47" s="337"/>
      <c r="AL47" s="337"/>
      <c r="AM47" s="338"/>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36"/>
      <c r="K48" s="337"/>
      <c r="L48" s="337"/>
      <c r="M48" s="337"/>
      <c r="N48" s="337"/>
      <c r="O48" s="338"/>
      <c r="P48" s="336"/>
      <c r="Q48" s="337"/>
      <c r="R48" s="337"/>
      <c r="S48" s="337"/>
      <c r="T48" s="337"/>
      <c r="U48" s="338"/>
      <c r="V48" s="336"/>
      <c r="W48" s="337"/>
      <c r="X48" s="337"/>
      <c r="Y48" s="337"/>
      <c r="Z48" s="337"/>
      <c r="AA48" s="338"/>
      <c r="AB48" s="336"/>
      <c r="AC48" s="337"/>
      <c r="AD48" s="337"/>
      <c r="AE48" s="337"/>
      <c r="AF48" s="337"/>
      <c r="AG48" s="338"/>
      <c r="AH48" s="336"/>
      <c r="AI48" s="337"/>
      <c r="AJ48" s="337"/>
      <c r="AK48" s="337"/>
      <c r="AL48" s="337"/>
      <c r="AM48" s="338"/>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36"/>
      <c r="K49" s="337"/>
      <c r="L49" s="337"/>
      <c r="M49" s="337"/>
      <c r="N49" s="337"/>
      <c r="O49" s="338"/>
      <c r="P49" s="336"/>
      <c r="Q49" s="337"/>
      <c r="R49" s="337"/>
      <c r="S49" s="337"/>
      <c r="T49" s="337"/>
      <c r="U49" s="338"/>
      <c r="V49" s="336"/>
      <c r="W49" s="337"/>
      <c r="X49" s="337"/>
      <c r="Y49" s="337"/>
      <c r="Z49" s="337"/>
      <c r="AA49" s="338"/>
      <c r="AB49" s="336"/>
      <c r="AC49" s="337"/>
      <c r="AD49" s="337"/>
      <c r="AE49" s="337"/>
      <c r="AF49" s="337"/>
      <c r="AG49" s="338"/>
      <c r="AH49" s="336"/>
      <c r="AI49" s="337"/>
      <c r="AJ49" s="337"/>
      <c r="AK49" s="337"/>
      <c r="AL49" s="337"/>
      <c r="AM49" s="338"/>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36"/>
      <c r="K50" s="337"/>
      <c r="L50" s="337"/>
      <c r="M50" s="337"/>
      <c r="N50" s="337"/>
      <c r="O50" s="338"/>
      <c r="P50" s="336"/>
      <c r="Q50" s="337"/>
      <c r="R50" s="337"/>
      <c r="S50" s="337"/>
      <c r="T50" s="337"/>
      <c r="U50" s="338"/>
      <c r="V50" s="336"/>
      <c r="W50" s="337"/>
      <c r="X50" s="337"/>
      <c r="Y50" s="337"/>
      <c r="Z50" s="337"/>
      <c r="AA50" s="338"/>
      <c r="AB50" s="336"/>
      <c r="AC50" s="337"/>
      <c r="AD50" s="337"/>
      <c r="AE50" s="337"/>
      <c r="AF50" s="337"/>
      <c r="AG50" s="338"/>
      <c r="AH50" s="336"/>
      <c r="AI50" s="337"/>
      <c r="AJ50" s="337"/>
      <c r="AK50" s="337"/>
      <c r="AL50" s="337"/>
      <c r="AM50" s="338"/>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39"/>
      <c r="K51" s="340"/>
      <c r="L51" s="340"/>
      <c r="M51" s="340"/>
      <c r="N51" s="340"/>
      <c r="O51" s="341"/>
      <c r="P51" s="339"/>
      <c r="Q51" s="340"/>
      <c r="R51" s="340"/>
      <c r="S51" s="340"/>
      <c r="T51" s="340"/>
      <c r="U51" s="341"/>
      <c r="V51" s="339"/>
      <c r="W51" s="340"/>
      <c r="X51" s="340"/>
      <c r="Y51" s="340"/>
      <c r="Z51" s="340"/>
      <c r="AA51" s="341"/>
      <c r="AB51" s="339"/>
      <c r="AC51" s="340"/>
      <c r="AD51" s="340"/>
      <c r="AE51" s="340"/>
      <c r="AF51" s="340"/>
      <c r="AG51" s="341"/>
      <c r="AH51" s="339"/>
      <c r="AI51" s="340"/>
      <c r="AJ51" s="340"/>
      <c r="AK51" s="340"/>
      <c r="AL51" s="340"/>
      <c r="AM51" s="34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14" zoomScale="50" zoomScaleNormal="50" workbookViewId="0">
      <selection activeCell="J6" sqref="J6"/>
    </sheetView>
  </sheetViews>
  <sheetFormatPr baseColWidth="10" defaultRowHeight="15" x14ac:dyDescent="0.25"/>
  <cols>
    <col min="2" max="18" width="5.5703125" customWidth="1"/>
    <col min="19" max="19" width="8.42578125" customWidth="1"/>
    <col min="20" max="23" width="5.5703125" customWidth="1"/>
    <col min="24" max="24" width="8.5703125" customWidth="1"/>
    <col min="25" max="26" width="5.5703125" customWidth="1"/>
    <col min="27" max="27" width="10.5703125" customWidth="1"/>
    <col min="28" max="28" width="5.5703125" customWidth="1"/>
    <col min="29" max="29" width="7.42578125" customWidth="1"/>
    <col min="30" max="33" width="5.5703125" customWidth="1"/>
    <col min="34" max="34" width="8.5703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410" t="s">
        <v>158</v>
      </c>
      <c r="C2" s="411"/>
      <c r="D2" s="411"/>
      <c r="E2" s="411"/>
      <c r="F2" s="411"/>
      <c r="G2" s="411"/>
      <c r="H2" s="411"/>
      <c r="I2" s="411"/>
      <c r="J2" s="332" t="s">
        <v>2</v>
      </c>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411"/>
      <c r="C3" s="411"/>
      <c r="D3" s="411"/>
      <c r="E3" s="411"/>
      <c r="F3" s="411"/>
      <c r="G3" s="411"/>
      <c r="H3" s="411"/>
      <c r="I3" s="41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411"/>
      <c r="C4" s="411"/>
      <c r="D4" s="411"/>
      <c r="E4" s="411"/>
      <c r="F4" s="411"/>
      <c r="G4" s="411"/>
      <c r="H4" s="411"/>
      <c r="I4" s="411"/>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343" t="s">
        <v>4</v>
      </c>
      <c r="C6" s="343"/>
      <c r="D6" s="344"/>
      <c r="E6" s="381" t="s">
        <v>115</v>
      </c>
      <c r="F6" s="382"/>
      <c r="G6" s="382"/>
      <c r="H6" s="382"/>
      <c r="I6" s="383"/>
      <c r="J6" s="45" t="str">
        <f>IF(AND('Mapa final'!$Y$10="Muy Alta",'Mapa final'!$AA$10="Leve"),CONCATENATE("R1C",'Mapa final'!$O$10),"")</f>
        <v/>
      </c>
      <c r="K6" s="46" t="str">
        <f>IF(AND('Mapa final'!$Y$11="Muy Alta",'Mapa final'!$AA$11="Leve"),CONCATENATE("R1C",'Mapa final'!$O$11),"")</f>
        <v/>
      </c>
      <c r="L6" s="46" t="str">
        <f>IF(AND('Mapa final'!$Y$12="Muy Alta",'Mapa final'!$AA$12="Leve"),CONCATENATE("R1C",'Mapa final'!$O$12),"")</f>
        <v/>
      </c>
      <c r="M6" s="46" t="str">
        <f>IF(AND('Mapa final'!$Y$13="Muy Alta",'Mapa final'!$AA$13="Leve"),CONCATENATE("R1C",'Mapa final'!$O$13),"")</f>
        <v/>
      </c>
      <c r="N6" s="46" t="str">
        <f>IF(AND('Mapa final'!$Y$14="Muy Alta",'Mapa final'!$AA$14="Leve"),CONCATENATE("R1C",'Mapa final'!$O$14),"")</f>
        <v/>
      </c>
      <c r="O6" s="47" t="str">
        <f>IF(AND('Mapa final'!$Y$15="Muy Alta",'Mapa final'!$AA$15="Leve"),CONCATENATE("R1C",'Mapa final'!$O$15),"")</f>
        <v/>
      </c>
      <c r="P6" s="45" t="str">
        <f>IF(AND('Mapa final'!$Y$10="Muy Alta",'Mapa final'!$AA$10="Menor"),CONCATENATE("R1C",'Mapa final'!$O$10),"")</f>
        <v/>
      </c>
      <c r="Q6" s="46" t="str">
        <f>IF(AND('Mapa final'!$Y$11="Muy Alta",'Mapa final'!$AA$11="Menor"),CONCATENATE("R1C",'Mapa final'!$O$11),"")</f>
        <v/>
      </c>
      <c r="R6" s="46" t="str">
        <f>IF(AND('Mapa final'!$Y$12="Muy Alta",'Mapa final'!$AA$12="Menor"),CONCATENATE("R1C",'Mapa final'!$O$12),"")</f>
        <v/>
      </c>
      <c r="S6" s="46" t="str">
        <f>IF(AND('Mapa final'!$Y$13="Muy Alta",'Mapa final'!$AA$13="Menor"),CONCATENATE("R1C",'Mapa final'!$O$13),"")</f>
        <v/>
      </c>
      <c r="T6" s="46" t="str">
        <f>IF(AND('Mapa final'!$Y$14="Muy Alta",'Mapa final'!$AA$14="Menor"),CONCATENATE("R1C",'Mapa final'!$O$14),"")</f>
        <v/>
      </c>
      <c r="U6" s="47" t="str">
        <f>IF(AND('Mapa final'!$Y$15="Muy Alta",'Mapa final'!$AA$15="Menor"),CONCATENATE("R1C",'Mapa final'!$O$15),"")</f>
        <v/>
      </c>
      <c r="V6" s="45" t="str">
        <f>IF(AND('Mapa final'!$Y$10="Muy Alta",'Mapa final'!$AA$10="Moderado"),CONCATENATE("R1C",'Mapa final'!$O$10),"")</f>
        <v/>
      </c>
      <c r="W6" s="46" t="str">
        <f>IF(AND('Mapa final'!$Y$11="Muy Alta",'Mapa final'!$AA$11="Moderado"),CONCATENATE("R1C",'Mapa final'!$O$11),"")</f>
        <v/>
      </c>
      <c r="X6" s="46" t="str">
        <f>IF(AND('Mapa final'!$Y$12="Muy Alta",'Mapa final'!$AA$12="Moderado"),CONCATENATE("R1C",'Mapa final'!$O$12),"")</f>
        <v/>
      </c>
      <c r="Y6" s="46" t="str">
        <f>IF(AND('Mapa final'!$Y$13="Muy Alta",'Mapa final'!$AA$13="Moderado"),CONCATENATE("R1C",'Mapa final'!$O$13),"")</f>
        <v/>
      </c>
      <c r="Z6" s="46" t="str">
        <f>IF(AND('Mapa final'!$Y$14="Muy Alta",'Mapa final'!$AA$14="Moderado"),CONCATENATE("R1C",'Mapa final'!$O$14),"")</f>
        <v/>
      </c>
      <c r="AA6" s="47" t="str">
        <f>IF(AND('Mapa final'!$Y$15="Muy Alta",'Mapa final'!$AA$15="Moderado"),CONCATENATE("R1C",'Mapa final'!$O$15),"")</f>
        <v/>
      </c>
      <c r="AB6" s="45" t="str">
        <f>IF(AND('Mapa final'!$Y$10="Muy Alta",'Mapa final'!$AA$10="Mayor"),CONCATENATE("R1C",'Mapa final'!$O$10),"")</f>
        <v/>
      </c>
      <c r="AC6" s="46" t="str">
        <f>IF(AND('Mapa final'!$Y$11="Muy Alta",'Mapa final'!$AA$11="Mayor"),CONCATENATE("R1C",'Mapa final'!$O$11),"")</f>
        <v/>
      </c>
      <c r="AD6" s="46" t="str">
        <f>IF(AND('Mapa final'!$Y$12="Muy Alta",'Mapa final'!$AA$12="Mayor"),CONCATENATE("R1C",'Mapa final'!$O$12),"")</f>
        <v/>
      </c>
      <c r="AE6" s="46" t="str">
        <f>IF(AND('Mapa final'!$Y$13="Muy Alta",'Mapa final'!$AA$13="Mayor"),CONCATENATE("R1C",'Mapa final'!$O$13),"")</f>
        <v/>
      </c>
      <c r="AF6" s="46" t="str">
        <f>IF(AND('Mapa final'!$Y$14="Muy Alta",'Mapa final'!$AA$14="Mayor"),CONCATENATE("R1C",'Mapa final'!$O$14),"")</f>
        <v/>
      </c>
      <c r="AG6" s="47" t="str">
        <f>IF(AND('Mapa final'!$Y$15="Muy Alta",'Mapa final'!$AA$15="Mayor"),CONCATENATE("R1C",'Mapa final'!$O$15),"")</f>
        <v/>
      </c>
      <c r="AH6" s="48" t="str">
        <f>IF(AND('Mapa final'!$Y$10="Muy Alta",'Mapa final'!$AA$10="Catastrófico"),CONCATENATE("R1C",'Mapa final'!$O$10),"")</f>
        <v/>
      </c>
      <c r="AI6" s="49" t="str">
        <f>IF(AND('Mapa final'!$Y$11="Muy Alta",'Mapa final'!$AA$11="Catastrófico"),CONCATENATE("R1C",'Mapa final'!$O$11),"")</f>
        <v/>
      </c>
      <c r="AJ6" s="49" t="str">
        <f>IF(AND('Mapa final'!$Y$12="Muy Alta",'Mapa final'!$AA$12="Catastrófico"),CONCATENATE("R1C",'Mapa final'!$O$12),"")</f>
        <v/>
      </c>
      <c r="AK6" s="49" t="str">
        <f>IF(AND('Mapa final'!$Y$13="Muy Alta",'Mapa final'!$AA$13="Catastrófico"),CONCATENATE("R1C",'Mapa final'!$O$13),"")</f>
        <v/>
      </c>
      <c r="AL6" s="49" t="str">
        <f>IF(AND('Mapa final'!$Y$14="Muy Alta",'Mapa final'!$AA$14="Catastrófico"),CONCATENATE("R1C",'Mapa final'!$O$14),"")</f>
        <v/>
      </c>
      <c r="AM6" s="50" t="str">
        <f>IF(AND('Mapa final'!$Y$15="Muy Alta",'Mapa final'!$AA$15="Catastrófico"),CONCATENATE("R1C",'Mapa final'!$O$15),"")</f>
        <v/>
      </c>
      <c r="AN6" s="82"/>
      <c r="AO6" s="401" t="s">
        <v>78</v>
      </c>
      <c r="AP6" s="402"/>
      <c r="AQ6" s="402"/>
      <c r="AR6" s="402"/>
      <c r="AS6" s="402"/>
      <c r="AT6" s="403"/>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343"/>
      <c r="C7" s="343"/>
      <c r="D7" s="344"/>
      <c r="E7" s="384"/>
      <c r="F7" s="385"/>
      <c r="G7" s="385"/>
      <c r="H7" s="385"/>
      <c r="I7" s="386"/>
      <c r="J7" s="51" t="str">
        <f>IF(AND('Mapa final'!$Y$16="Muy Alta",'Mapa final'!$AA$16="Leve"),CONCATENATE("R2C",'Mapa final'!$O$16),"")</f>
        <v/>
      </c>
      <c r="K7" s="52" t="str">
        <f>IF(AND('Mapa final'!$Y$17="Muy Alta",'Mapa final'!$AA$17="Leve"),CONCATENATE("R2C",'Mapa final'!$O$17),"")</f>
        <v/>
      </c>
      <c r="L7" s="52" t="str">
        <f>IF(AND('Mapa final'!$Y$18="Muy Alta",'Mapa final'!$AA$18="Leve"),CONCATENATE("R2C",'Mapa final'!$O$18),"")</f>
        <v/>
      </c>
      <c r="M7" s="52" t="str">
        <f>IF(AND('Mapa final'!$Y$19="Muy Alta",'Mapa final'!$AA$19="Leve"),CONCATENATE("R2C",'Mapa final'!$O$19),"")</f>
        <v/>
      </c>
      <c r="N7" s="52" t="str">
        <f>IF(AND('Mapa final'!$Y$20="Muy Alta",'Mapa final'!$AA$20="Leve"),CONCATENATE("R2C",'Mapa final'!$O$20),"")</f>
        <v/>
      </c>
      <c r="O7" s="53" t="str">
        <f>IF(AND('Mapa final'!$Y$21="Muy Alta",'Mapa final'!$AA$21="Leve"),CONCATENATE("R2C",'Mapa final'!$O$21),"")</f>
        <v/>
      </c>
      <c r="P7" s="51" t="str">
        <f>IF(AND('Mapa final'!$Y$16="Muy Alta",'Mapa final'!$AA$16="Menor"),CONCATENATE("R2C",'Mapa final'!$O$16),"")</f>
        <v/>
      </c>
      <c r="Q7" s="52" t="str">
        <f>IF(AND('Mapa final'!$Y$17="Muy Alta",'Mapa final'!$AA$17="Menor"),CONCATENATE("R2C",'Mapa final'!$O$17),"")</f>
        <v/>
      </c>
      <c r="R7" s="52" t="str">
        <f>IF(AND('Mapa final'!$Y$18="Muy Alta",'Mapa final'!$AA$18="Menor"),CONCATENATE("R2C",'Mapa final'!$O$18),"")</f>
        <v/>
      </c>
      <c r="S7" s="52" t="str">
        <f>IF(AND('Mapa final'!$Y$19="Muy Alta",'Mapa final'!$AA$19="Menor"),CONCATENATE("R2C",'Mapa final'!$O$19),"")</f>
        <v/>
      </c>
      <c r="T7" s="52" t="str">
        <f>IF(AND('Mapa final'!$Y$20="Muy Alta",'Mapa final'!$AA$20="Menor"),CONCATENATE("R2C",'Mapa final'!$O$20),"")</f>
        <v/>
      </c>
      <c r="U7" s="53" t="str">
        <f>IF(AND('Mapa final'!$Y$21="Muy Alta",'Mapa final'!$AA$21="Menor"),CONCATENATE("R2C",'Mapa final'!$O$21),"")</f>
        <v/>
      </c>
      <c r="V7" s="51" t="str">
        <f>IF(AND('Mapa final'!$Y$16="Muy Alta",'Mapa final'!$AA$16="Moderado"),CONCATENATE("R2C",'Mapa final'!$O$16),"")</f>
        <v/>
      </c>
      <c r="W7" s="52" t="str">
        <f>IF(AND('Mapa final'!$Y$17="Muy Alta",'Mapa final'!$AA$17="Moderado"),CONCATENATE("R2C",'Mapa final'!$O$17),"")</f>
        <v/>
      </c>
      <c r="X7" s="52" t="str">
        <f>IF(AND('Mapa final'!$Y$18="Muy Alta",'Mapa final'!$AA$18="Moderado"),CONCATENATE("R2C",'Mapa final'!$O$18),"")</f>
        <v/>
      </c>
      <c r="Y7" s="52" t="str">
        <f>IF(AND('Mapa final'!$Y$19="Muy Alta",'Mapa final'!$AA$19="Moderado"),CONCATENATE("R2C",'Mapa final'!$O$19),"")</f>
        <v/>
      </c>
      <c r="Z7" s="52" t="str">
        <f>IF(AND('Mapa final'!$Y$20="Muy Alta",'Mapa final'!$AA$20="Moderado"),CONCATENATE("R2C",'Mapa final'!$O$20),"")</f>
        <v/>
      </c>
      <c r="AA7" s="53" t="str">
        <f>IF(AND('Mapa final'!$Y$21="Muy Alta",'Mapa final'!$AA$21="Moderado"),CONCATENATE("R2C",'Mapa final'!$O$21),"")</f>
        <v/>
      </c>
      <c r="AB7" s="51" t="str">
        <f>IF(AND('Mapa final'!$Y$16="Muy Alta",'Mapa final'!$AA$16="Mayor"),CONCATENATE("R2C",'Mapa final'!$O$16),"")</f>
        <v/>
      </c>
      <c r="AC7" s="52" t="str">
        <f>IF(AND('Mapa final'!$Y$17="Muy Alta",'Mapa final'!$AA$17="Mayor"),CONCATENATE("R2C",'Mapa final'!$O$17),"")</f>
        <v/>
      </c>
      <c r="AD7" s="52" t="str">
        <f>IF(AND('Mapa final'!$Y$18="Muy Alta",'Mapa final'!$AA$18="Mayor"),CONCATENATE("R2C",'Mapa final'!$O$18),"")</f>
        <v/>
      </c>
      <c r="AE7" s="52" t="str">
        <f>IF(AND('Mapa final'!$Y$19="Muy Alta",'Mapa final'!$AA$19="Mayor"),CONCATENATE("R2C",'Mapa final'!$O$19),"")</f>
        <v/>
      </c>
      <c r="AF7" s="52" t="str">
        <f>IF(AND('Mapa final'!$Y$20="Muy Alta",'Mapa final'!$AA$20="Mayor"),CONCATENATE("R2C",'Mapa final'!$O$20),"")</f>
        <v/>
      </c>
      <c r="AG7" s="53" t="str">
        <f>IF(AND('Mapa final'!$Y$21="Muy Alta",'Mapa final'!$AA$21="Mayor"),CONCATENATE("R2C",'Mapa final'!$O$21),"")</f>
        <v/>
      </c>
      <c r="AH7" s="54" t="str">
        <f>IF(AND('Mapa final'!$Y$16="Muy Alta",'Mapa final'!$AA$16="Catastrófico"),CONCATENATE("R2C",'Mapa final'!$O$16),"")</f>
        <v/>
      </c>
      <c r="AI7" s="55" t="str">
        <f>IF(AND('Mapa final'!$Y$17="Muy Alta",'Mapa final'!$AA$17="Catastrófico"),CONCATENATE("R2C",'Mapa final'!$O$17),"")</f>
        <v/>
      </c>
      <c r="AJ7" s="55" t="str">
        <f>IF(AND('Mapa final'!$Y$18="Muy Alta",'Mapa final'!$AA$18="Catastrófico"),CONCATENATE("R2C",'Mapa final'!$O$18),"")</f>
        <v/>
      </c>
      <c r="AK7" s="55" t="str">
        <f>IF(AND('Mapa final'!$Y$19="Muy Alta",'Mapa final'!$AA$19="Catastrófico"),CONCATENATE("R2C",'Mapa final'!$O$19),"")</f>
        <v/>
      </c>
      <c r="AL7" s="55" t="str">
        <f>IF(AND('Mapa final'!$Y$20="Muy Alta",'Mapa final'!$AA$20="Catastrófico"),CONCATENATE("R2C",'Mapa final'!$O$20),"")</f>
        <v/>
      </c>
      <c r="AM7" s="56" t="str">
        <f>IF(AND('Mapa final'!$Y$21="Muy Alta",'Mapa final'!$AA$21="Catastrófico"),CONCATENATE("R2C",'Mapa final'!$O$21),"")</f>
        <v/>
      </c>
      <c r="AN7" s="82"/>
      <c r="AO7" s="404"/>
      <c r="AP7" s="405"/>
      <c r="AQ7" s="405"/>
      <c r="AR7" s="405"/>
      <c r="AS7" s="405"/>
      <c r="AT7" s="406"/>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343"/>
      <c r="C8" s="343"/>
      <c r="D8" s="344"/>
      <c r="E8" s="384"/>
      <c r="F8" s="385"/>
      <c r="G8" s="385"/>
      <c r="H8" s="385"/>
      <c r="I8" s="386"/>
      <c r="J8" s="51" t="str">
        <f>IF(AND('Mapa final'!$Y$22="Muy Alta",'Mapa final'!$AA$22="Leve"),CONCATENATE("R3C",'Mapa final'!$O$22),"")</f>
        <v/>
      </c>
      <c r="K8" s="52" t="str">
        <f>IF(AND('Mapa final'!$Y$23="Muy Alta",'Mapa final'!$AA$23="Leve"),CONCATENATE("R3C",'Mapa final'!$O$23),"")</f>
        <v/>
      </c>
      <c r="L8" s="52" t="str">
        <f>IF(AND('Mapa final'!$Y$24="Muy Alta",'Mapa final'!$AA$24="Leve"),CONCATENATE("R3C",'Mapa final'!$O$24),"")</f>
        <v/>
      </c>
      <c r="M8" s="52" t="str">
        <f>IF(AND('Mapa final'!$Y$25="Muy Alta",'Mapa final'!$AA$25="Leve"),CONCATENATE("R3C",'Mapa final'!$O$25),"")</f>
        <v/>
      </c>
      <c r="N8" s="52" t="str">
        <f>IF(AND('Mapa final'!$Y$26="Muy Alta",'Mapa final'!$AA$26="Leve"),CONCATENATE("R3C",'Mapa final'!$O$26),"")</f>
        <v/>
      </c>
      <c r="O8" s="53" t="str">
        <f>IF(AND('Mapa final'!$Y$27="Muy Alta",'Mapa final'!$AA$27="Leve"),CONCATENATE("R3C",'Mapa final'!$O$27),"")</f>
        <v/>
      </c>
      <c r="P8" s="51" t="str">
        <f>IF(AND('Mapa final'!$Y$22="Muy Alta",'Mapa final'!$AA$22="Menor"),CONCATENATE("R3C",'Mapa final'!$O$22),"")</f>
        <v/>
      </c>
      <c r="Q8" s="52" t="str">
        <f>IF(AND('Mapa final'!$Y$23="Muy Alta",'Mapa final'!$AA$23="Menor"),CONCATENATE("R3C",'Mapa final'!$O$23),"")</f>
        <v/>
      </c>
      <c r="R8" s="52" t="str">
        <f>IF(AND('Mapa final'!$Y$24="Muy Alta",'Mapa final'!$AA$24="Menor"),CONCATENATE("R3C",'Mapa final'!$O$24),"")</f>
        <v/>
      </c>
      <c r="S8" s="52" t="str">
        <f>IF(AND('Mapa final'!$Y$25="Muy Alta",'Mapa final'!$AA$25="Menor"),CONCATENATE("R3C",'Mapa final'!$O$25),"")</f>
        <v/>
      </c>
      <c r="T8" s="52" t="str">
        <f>IF(AND('Mapa final'!$Y$26="Muy Alta",'Mapa final'!$AA$26="Menor"),CONCATENATE("R3C",'Mapa final'!$O$26),"")</f>
        <v/>
      </c>
      <c r="U8" s="53" t="str">
        <f>IF(AND('Mapa final'!$Y$27="Muy Alta",'Mapa final'!$AA$27="Menor"),CONCATENATE("R3C",'Mapa final'!$O$27),"")</f>
        <v/>
      </c>
      <c r="V8" s="51" t="str">
        <f>IF(AND('Mapa final'!$Y$22="Muy Alta",'Mapa final'!$AA$22="Moderado"),CONCATENATE("R3C",'Mapa final'!$O$22),"")</f>
        <v/>
      </c>
      <c r="W8" s="52" t="str">
        <f>IF(AND('Mapa final'!$Y$23="Muy Alta",'Mapa final'!$AA$23="Moderado"),CONCATENATE("R3C",'Mapa final'!$O$23),"")</f>
        <v/>
      </c>
      <c r="X8" s="52" t="str">
        <f>IF(AND('Mapa final'!$Y$24="Muy Alta",'Mapa final'!$AA$24="Moderado"),CONCATENATE("R3C",'Mapa final'!$O$24),"")</f>
        <v/>
      </c>
      <c r="Y8" s="52" t="str">
        <f>IF(AND('Mapa final'!$Y$25="Muy Alta",'Mapa final'!$AA$25="Moderado"),CONCATENATE("R3C",'Mapa final'!$O$25),"")</f>
        <v/>
      </c>
      <c r="Z8" s="52" t="str">
        <f>IF(AND('Mapa final'!$Y$26="Muy Alta",'Mapa final'!$AA$26="Moderado"),CONCATENATE("R3C",'Mapa final'!$O$26),"")</f>
        <v/>
      </c>
      <c r="AA8" s="53" t="str">
        <f>IF(AND('Mapa final'!$Y$27="Muy Alta",'Mapa final'!$AA$27="Moderado"),CONCATENATE("R3C",'Mapa final'!$O$27),"")</f>
        <v/>
      </c>
      <c r="AB8" s="51" t="str">
        <f>IF(AND('Mapa final'!$Y$22="Muy Alta",'Mapa final'!$AA$22="Mayor"),CONCATENATE("R3C",'Mapa final'!$O$22),"")</f>
        <v/>
      </c>
      <c r="AC8" s="52" t="str">
        <f>IF(AND('Mapa final'!$Y$23="Muy Alta",'Mapa final'!$AA$23="Mayor"),CONCATENATE("R3C",'Mapa final'!$O$23),"")</f>
        <v/>
      </c>
      <c r="AD8" s="52" t="str">
        <f>IF(AND('Mapa final'!$Y$24="Muy Alta",'Mapa final'!$AA$24="Mayor"),CONCATENATE("R3C",'Mapa final'!$O$24),"")</f>
        <v/>
      </c>
      <c r="AE8" s="52" t="str">
        <f>IF(AND('Mapa final'!$Y$25="Muy Alta",'Mapa final'!$AA$25="Mayor"),CONCATENATE("R3C",'Mapa final'!$O$25),"")</f>
        <v/>
      </c>
      <c r="AF8" s="52" t="str">
        <f>IF(AND('Mapa final'!$Y$26="Muy Alta",'Mapa final'!$AA$26="Mayor"),CONCATENATE("R3C",'Mapa final'!$O$26),"")</f>
        <v/>
      </c>
      <c r="AG8" s="53" t="str">
        <f>IF(AND('Mapa final'!$Y$27="Muy Alta",'Mapa final'!$AA$27="Mayor"),CONCATENATE("R3C",'Mapa final'!$O$27),"")</f>
        <v/>
      </c>
      <c r="AH8" s="54" t="str">
        <f>IF(AND('Mapa final'!$Y$22="Muy Alta",'Mapa final'!$AA$22="Catastrófico"),CONCATENATE("R3C",'Mapa final'!$O$22),"")</f>
        <v/>
      </c>
      <c r="AI8" s="55" t="str">
        <f>IF(AND('Mapa final'!$Y$23="Muy Alta",'Mapa final'!$AA$23="Catastrófico"),CONCATENATE("R3C",'Mapa final'!$O$23),"")</f>
        <v/>
      </c>
      <c r="AJ8" s="55" t="str">
        <f>IF(AND('Mapa final'!$Y$24="Muy Alta",'Mapa final'!$AA$24="Catastrófico"),CONCATENATE("R3C",'Mapa final'!$O$24),"")</f>
        <v/>
      </c>
      <c r="AK8" s="55" t="str">
        <f>IF(AND('Mapa final'!$Y$25="Muy Alta",'Mapa final'!$AA$25="Catastrófico"),CONCATENATE("R3C",'Mapa final'!$O$25),"")</f>
        <v/>
      </c>
      <c r="AL8" s="55" t="str">
        <f>IF(AND('Mapa final'!$Y$26="Muy Alta",'Mapa final'!$AA$26="Catastrófico"),CONCATENATE("R3C",'Mapa final'!$O$26),"")</f>
        <v/>
      </c>
      <c r="AM8" s="56" t="str">
        <f>IF(AND('Mapa final'!$Y$27="Muy Alta",'Mapa final'!$AA$27="Catastrófico"),CONCATENATE("R3C",'Mapa final'!$O$27),"")</f>
        <v/>
      </c>
      <c r="AN8" s="82"/>
      <c r="AO8" s="404"/>
      <c r="AP8" s="405"/>
      <c r="AQ8" s="405"/>
      <c r="AR8" s="405"/>
      <c r="AS8" s="405"/>
      <c r="AT8" s="406"/>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343"/>
      <c r="C9" s="343"/>
      <c r="D9" s="344"/>
      <c r="E9" s="384"/>
      <c r="F9" s="385"/>
      <c r="G9" s="385"/>
      <c r="H9" s="385"/>
      <c r="I9" s="386"/>
      <c r="J9" s="51" t="str">
        <f>IF(AND('Mapa final'!$Y$28="Muy Alta",'Mapa final'!$AA$28="Leve"),CONCATENATE("R4C",'Mapa final'!$O$28),"")</f>
        <v/>
      </c>
      <c r="K9" s="52" t="str">
        <f>IF(AND('Mapa final'!$Y$29="Muy Alta",'Mapa final'!$AA$29="Leve"),CONCATENATE("R4C",'Mapa final'!$O$29),"")</f>
        <v/>
      </c>
      <c r="L9" s="52" t="str">
        <f>IF(AND('Mapa final'!$Y$30="Muy Alta",'Mapa final'!$AA$30="Leve"),CONCATENATE("R4C",'Mapa final'!$O$30),"")</f>
        <v/>
      </c>
      <c r="M9" s="52" t="str">
        <f>IF(AND('Mapa final'!$Y$31="Muy Alta",'Mapa final'!$AA$31="Leve"),CONCATENATE("R4C",'Mapa final'!$O$31),"")</f>
        <v/>
      </c>
      <c r="N9" s="52" t="str">
        <f>IF(AND('Mapa final'!$Y$32="Muy Alta",'Mapa final'!$AA$32="Leve"),CONCATENATE("R4C",'Mapa final'!$O$32),"")</f>
        <v/>
      </c>
      <c r="O9" s="53" t="str">
        <f>IF(AND('Mapa final'!$Y$33="Muy Alta",'Mapa final'!$AA$33="Leve"),CONCATENATE("R4C",'Mapa final'!$O$33),"")</f>
        <v/>
      </c>
      <c r="P9" s="51" t="str">
        <f>IF(AND('Mapa final'!$Y$28="Muy Alta",'Mapa final'!$AA$28="Menor"),CONCATENATE("R4C",'Mapa final'!$O$28),"")</f>
        <v/>
      </c>
      <c r="Q9" s="52" t="str">
        <f>IF(AND('Mapa final'!$Y$29="Muy Alta",'Mapa final'!$AA$29="Menor"),CONCATENATE("R4C",'Mapa final'!$O$29),"")</f>
        <v/>
      </c>
      <c r="R9" s="52" t="str">
        <f>IF(AND('Mapa final'!$Y$30="Muy Alta",'Mapa final'!$AA$30="Menor"),CONCATENATE("R4C",'Mapa final'!$O$30),"")</f>
        <v/>
      </c>
      <c r="S9" s="52" t="str">
        <f>IF(AND('Mapa final'!$Y$31="Muy Alta",'Mapa final'!$AA$31="Menor"),CONCATENATE("R4C",'Mapa final'!$O$31),"")</f>
        <v/>
      </c>
      <c r="T9" s="52" t="str">
        <f>IF(AND('Mapa final'!$Y$32="Muy Alta",'Mapa final'!$AA$32="Menor"),CONCATENATE("R4C",'Mapa final'!$O$32),"")</f>
        <v/>
      </c>
      <c r="U9" s="53" t="str">
        <f>IF(AND('Mapa final'!$Y$33="Muy Alta",'Mapa final'!$AA$33="Menor"),CONCATENATE("R4C",'Mapa final'!$O$33),"")</f>
        <v/>
      </c>
      <c r="V9" s="51" t="str">
        <f>IF(AND('Mapa final'!$Y$28="Muy Alta",'Mapa final'!$AA$28="Moderado"),CONCATENATE("R4C",'Mapa final'!$O$28),"")</f>
        <v/>
      </c>
      <c r="W9" s="52" t="str">
        <f>IF(AND('Mapa final'!$Y$29="Muy Alta",'Mapa final'!$AA$29="Moderado"),CONCATENATE("R4C",'Mapa final'!$O$29),"")</f>
        <v/>
      </c>
      <c r="X9" s="52" t="str">
        <f>IF(AND('Mapa final'!$Y$30="Muy Alta",'Mapa final'!$AA$30="Moderado"),CONCATENATE("R4C",'Mapa final'!$O$30),"")</f>
        <v/>
      </c>
      <c r="Y9" s="52" t="str">
        <f>IF(AND('Mapa final'!$Y$31="Muy Alta",'Mapa final'!$AA$31="Moderado"),CONCATENATE("R4C",'Mapa final'!$O$31),"")</f>
        <v/>
      </c>
      <c r="Z9" s="52" t="str">
        <f>IF(AND('Mapa final'!$Y$32="Muy Alta",'Mapa final'!$AA$32="Moderado"),CONCATENATE("R4C",'Mapa final'!$O$32),"")</f>
        <v/>
      </c>
      <c r="AA9" s="53" t="str">
        <f>IF(AND('Mapa final'!$Y$33="Muy Alta",'Mapa final'!$AA$33="Moderado"),CONCATENATE("R4C",'Mapa final'!$O$33),"")</f>
        <v/>
      </c>
      <c r="AB9" s="51" t="str">
        <f>IF(AND('Mapa final'!$Y$28="Muy Alta",'Mapa final'!$AA$28="Mayor"),CONCATENATE("R4C",'Mapa final'!$O$28),"")</f>
        <v/>
      </c>
      <c r="AC9" s="52" t="str">
        <f>IF(AND('Mapa final'!$Y$29="Muy Alta",'Mapa final'!$AA$29="Mayor"),CONCATENATE("R4C",'Mapa final'!$O$29),"")</f>
        <v/>
      </c>
      <c r="AD9" s="52" t="str">
        <f>IF(AND('Mapa final'!$Y$30="Muy Alta",'Mapa final'!$AA$30="Mayor"),CONCATENATE("R4C",'Mapa final'!$O$30),"")</f>
        <v/>
      </c>
      <c r="AE9" s="52" t="str">
        <f>IF(AND('Mapa final'!$Y$31="Muy Alta",'Mapa final'!$AA$31="Mayor"),CONCATENATE("R4C",'Mapa final'!$O$31),"")</f>
        <v/>
      </c>
      <c r="AF9" s="52" t="str">
        <f>IF(AND('Mapa final'!$Y$32="Muy Alta",'Mapa final'!$AA$32="Mayor"),CONCATENATE("R4C",'Mapa final'!$O$32),"")</f>
        <v/>
      </c>
      <c r="AG9" s="53" t="str">
        <f>IF(AND('Mapa final'!$Y$33="Muy Alta",'Mapa final'!$AA$33="Mayor"),CONCATENATE("R4C",'Mapa final'!$O$33),"")</f>
        <v/>
      </c>
      <c r="AH9" s="54" t="str">
        <f>IF(AND('Mapa final'!$Y$28="Muy Alta",'Mapa final'!$AA$28="Catastrófico"),CONCATENATE("R4C",'Mapa final'!$O$28),"")</f>
        <v/>
      </c>
      <c r="AI9" s="55" t="str">
        <f>IF(AND('Mapa final'!$Y$29="Muy Alta",'Mapa final'!$AA$29="Catastrófico"),CONCATENATE("R4C",'Mapa final'!$O$29),"")</f>
        <v/>
      </c>
      <c r="AJ9" s="55" t="str">
        <f>IF(AND('Mapa final'!$Y$30="Muy Alta",'Mapa final'!$AA$30="Catastrófico"),CONCATENATE("R4C",'Mapa final'!$O$30),"")</f>
        <v/>
      </c>
      <c r="AK9" s="55" t="str">
        <f>IF(AND('Mapa final'!$Y$31="Muy Alta",'Mapa final'!$AA$31="Catastrófico"),CONCATENATE("R4C",'Mapa final'!$O$31),"")</f>
        <v/>
      </c>
      <c r="AL9" s="55" t="str">
        <f>IF(AND('Mapa final'!$Y$32="Muy Alta",'Mapa final'!$AA$32="Catastrófico"),CONCATENATE("R4C",'Mapa final'!$O$32),"")</f>
        <v/>
      </c>
      <c r="AM9" s="56" t="str">
        <f>IF(AND('Mapa final'!$Y$33="Muy Alta",'Mapa final'!$AA$33="Catastrófico"),CONCATENATE("R4C",'Mapa final'!$O$33),"")</f>
        <v/>
      </c>
      <c r="AN9" s="82"/>
      <c r="AO9" s="404"/>
      <c r="AP9" s="405"/>
      <c r="AQ9" s="405"/>
      <c r="AR9" s="405"/>
      <c r="AS9" s="405"/>
      <c r="AT9" s="406"/>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343"/>
      <c r="C10" s="343"/>
      <c r="D10" s="344"/>
      <c r="E10" s="384"/>
      <c r="F10" s="385"/>
      <c r="G10" s="385"/>
      <c r="H10" s="385"/>
      <c r="I10" s="386"/>
      <c r="J10" s="51" t="str">
        <f>IF(AND('Mapa final'!$Y$34="Muy Alta",'Mapa final'!$AA$34="Leve"),CONCATENATE("R5C",'Mapa final'!$O$34),"")</f>
        <v/>
      </c>
      <c r="K10" s="52" t="str">
        <f>IF(AND('Mapa final'!$Y$35="Muy Alta",'Mapa final'!$AA$35="Leve"),CONCATENATE("R5C",'Mapa final'!$O$35),"")</f>
        <v/>
      </c>
      <c r="L10" s="52" t="str">
        <f>IF(AND('Mapa final'!$Y$36="Muy Alta",'Mapa final'!$AA$36="Leve"),CONCATENATE("R5C",'Mapa final'!$O$36),"")</f>
        <v/>
      </c>
      <c r="M10" s="52" t="str">
        <f>IF(AND('Mapa final'!$Y$37="Muy Alta",'Mapa final'!$AA$37="Leve"),CONCATENATE("R5C",'Mapa final'!$O$37),"")</f>
        <v/>
      </c>
      <c r="N10" s="52" t="str">
        <f>IF(AND('Mapa final'!$Y$38="Muy Alta",'Mapa final'!$AA$38="Leve"),CONCATENATE("R5C",'Mapa final'!$O$38),"")</f>
        <v/>
      </c>
      <c r="O10" s="53" t="str">
        <f>IF(AND('Mapa final'!$Y$39="Muy Alta",'Mapa final'!$AA$39="Leve"),CONCATENATE("R5C",'Mapa final'!$O$39),"")</f>
        <v/>
      </c>
      <c r="P10" s="51" t="str">
        <f>IF(AND('Mapa final'!$Y$34="Muy Alta",'Mapa final'!$AA$34="Menor"),CONCATENATE("R5C",'Mapa final'!$O$34),"")</f>
        <v/>
      </c>
      <c r="Q10" s="52" t="str">
        <f>IF(AND('Mapa final'!$Y$35="Muy Alta",'Mapa final'!$AA$35="Menor"),CONCATENATE("R5C",'Mapa final'!$O$35),"")</f>
        <v/>
      </c>
      <c r="R10" s="52" t="str">
        <f>IF(AND('Mapa final'!$Y$36="Muy Alta",'Mapa final'!$AA$36="Menor"),CONCATENATE("R5C",'Mapa final'!$O$36),"")</f>
        <v/>
      </c>
      <c r="S10" s="52" t="str">
        <f>IF(AND('Mapa final'!$Y$37="Muy Alta",'Mapa final'!$AA$37="Menor"),CONCATENATE("R5C",'Mapa final'!$O$37),"")</f>
        <v/>
      </c>
      <c r="T10" s="52" t="str">
        <f>IF(AND('Mapa final'!$Y$38="Muy Alta",'Mapa final'!$AA$38="Menor"),CONCATENATE("R5C",'Mapa final'!$O$38),"")</f>
        <v/>
      </c>
      <c r="U10" s="53" t="str">
        <f>IF(AND('Mapa final'!$Y$39="Muy Alta",'Mapa final'!$AA$39="Menor"),CONCATENATE("R5C",'Mapa final'!$O$39),"")</f>
        <v/>
      </c>
      <c r="V10" s="51" t="str">
        <f>IF(AND('Mapa final'!$Y$34="Muy Alta",'Mapa final'!$AA$34="Moderado"),CONCATENATE("R5C",'Mapa final'!$O$34),"")</f>
        <v/>
      </c>
      <c r="W10" s="52" t="str">
        <f>IF(AND('Mapa final'!$Y$35="Muy Alta",'Mapa final'!$AA$35="Moderado"),CONCATENATE("R5C",'Mapa final'!$O$35),"")</f>
        <v/>
      </c>
      <c r="X10" s="52" t="str">
        <f>IF(AND('Mapa final'!$Y$36="Muy Alta",'Mapa final'!$AA$36="Moderado"),CONCATENATE("R5C",'Mapa final'!$O$36),"")</f>
        <v/>
      </c>
      <c r="Y10" s="52" t="str">
        <f>IF(AND('Mapa final'!$Y$37="Muy Alta",'Mapa final'!$AA$37="Moderado"),CONCATENATE("R5C",'Mapa final'!$O$37),"")</f>
        <v/>
      </c>
      <c r="Z10" s="52" t="str">
        <f>IF(AND('Mapa final'!$Y$38="Muy Alta",'Mapa final'!$AA$38="Moderado"),CONCATENATE("R5C",'Mapa final'!$O$38),"")</f>
        <v/>
      </c>
      <c r="AA10" s="53" t="str">
        <f>IF(AND('Mapa final'!$Y$39="Muy Alta",'Mapa final'!$AA$39="Moderado"),CONCATENATE("R5C",'Mapa final'!$O$39),"")</f>
        <v/>
      </c>
      <c r="AB10" s="51" t="str">
        <f>IF(AND('Mapa final'!$Y$34="Muy Alta",'Mapa final'!$AA$34="Mayor"),CONCATENATE("R5C",'Mapa final'!$O$34),"")</f>
        <v/>
      </c>
      <c r="AC10" s="52" t="str">
        <f>IF(AND('Mapa final'!$Y$35="Muy Alta",'Mapa final'!$AA$35="Mayor"),CONCATENATE("R5C",'Mapa final'!$O$35),"")</f>
        <v/>
      </c>
      <c r="AD10" s="52" t="str">
        <f>IF(AND('Mapa final'!$Y$36="Muy Alta",'Mapa final'!$AA$36="Mayor"),CONCATENATE("R5C",'Mapa final'!$O$36),"")</f>
        <v/>
      </c>
      <c r="AE10" s="52" t="str">
        <f>IF(AND('Mapa final'!$Y$37="Muy Alta",'Mapa final'!$AA$37="Mayor"),CONCATENATE("R5C",'Mapa final'!$O$37),"")</f>
        <v/>
      </c>
      <c r="AF10" s="52" t="str">
        <f>IF(AND('Mapa final'!$Y$38="Muy Alta",'Mapa final'!$AA$38="Mayor"),CONCATENATE("R5C",'Mapa final'!$O$38),"")</f>
        <v/>
      </c>
      <c r="AG10" s="53" t="str">
        <f>IF(AND('Mapa final'!$Y$39="Muy Alta",'Mapa final'!$AA$39="Mayor"),CONCATENATE("R5C",'Mapa final'!$O$39),"")</f>
        <v/>
      </c>
      <c r="AH10" s="54" t="str">
        <f>IF(AND('Mapa final'!$Y$34="Muy Alta",'Mapa final'!$AA$34="Catastrófico"),CONCATENATE("R5C",'Mapa final'!$O$34),"")</f>
        <v/>
      </c>
      <c r="AI10" s="55" t="str">
        <f>IF(AND('Mapa final'!$Y$35="Muy Alta",'Mapa final'!$AA$35="Catastrófico"),CONCATENATE("R5C",'Mapa final'!$O$35),"")</f>
        <v/>
      </c>
      <c r="AJ10" s="55" t="str">
        <f>IF(AND('Mapa final'!$Y$36="Muy Alta",'Mapa final'!$AA$36="Catastrófico"),CONCATENATE("R5C",'Mapa final'!$O$36),"")</f>
        <v/>
      </c>
      <c r="AK10" s="55" t="str">
        <f>IF(AND('Mapa final'!$Y$37="Muy Alta",'Mapa final'!$AA$37="Catastrófico"),CONCATENATE("R5C",'Mapa final'!$O$37),"")</f>
        <v/>
      </c>
      <c r="AL10" s="55" t="str">
        <f>IF(AND('Mapa final'!$Y$38="Muy Alta",'Mapa final'!$AA$38="Catastrófico"),CONCATENATE("R5C",'Mapa final'!$O$38),"")</f>
        <v/>
      </c>
      <c r="AM10" s="56" t="str">
        <f>IF(AND('Mapa final'!$Y$39="Muy Alta",'Mapa final'!$AA$39="Catastrófico"),CONCATENATE("R5C",'Mapa final'!$O$39),"")</f>
        <v/>
      </c>
      <c r="AN10" s="82"/>
      <c r="AO10" s="404"/>
      <c r="AP10" s="405"/>
      <c r="AQ10" s="405"/>
      <c r="AR10" s="405"/>
      <c r="AS10" s="405"/>
      <c r="AT10" s="406"/>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343"/>
      <c r="C11" s="343"/>
      <c r="D11" s="344"/>
      <c r="E11" s="384"/>
      <c r="F11" s="385"/>
      <c r="G11" s="385"/>
      <c r="H11" s="385"/>
      <c r="I11" s="386"/>
      <c r="J11" s="51" t="str">
        <f>IF(AND('Mapa final'!$Y$40="Muy Alta",'Mapa final'!$AA$40="Leve"),CONCATENATE("R6C",'Mapa final'!$O$40),"")</f>
        <v/>
      </c>
      <c r="K11" s="52" t="str">
        <f>IF(AND('Mapa final'!$Y$41="Muy Alta",'Mapa final'!$AA$41="Leve"),CONCATENATE("R6C",'Mapa final'!$O$41),"")</f>
        <v/>
      </c>
      <c r="L11" s="52" t="str">
        <f>IF(AND('Mapa final'!$Y$42="Muy Alta",'Mapa final'!$AA$42="Leve"),CONCATENATE("R6C",'Mapa final'!$O$42),"")</f>
        <v/>
      </c>
      <c r="M11" s="52" t="str">
        <f>IF(AND('Mapa final'!$Y$43="Muy Alta",'Mapa final'!$AA$43="Leve"),CONCATENATE("R6C",'Mapa final'!$O$43),"")</f>
        <v/>
      </c>
      <c r="N11" s="52" t="str">
        <f>IF(AND('Mapa final'!$Y$44="Muy Alta",'Mapa final'!$AA$44="Leve"),CONCATENATE("R6C",'Mapa final'!$O$44),"")</f>
        <v/>
      </c>
      <c r="O11" s="53" t="str">
        <f>IF(AND('Mapa final'!$Y$45="Muy Alta",'Mapa final'!$AA$45="Leve"),CONCATENATE("R6C",'Mapa final'!$O$45),"")</f>
        <v/>
      </c>
      <c r="P11" s="51" t="str">
        <f>IF(AND('Mapa final'!$Y$40="Muy Alta",'Mapa final'!$AA$40="Menor"),CONCATENATE("R6C",'Mapa final'!$O$40),"")</f>
        <v/>
      </c>
      <c r="Q11" s="52" t="str">
        <f>IF(AND('Mapa final'!$Y$41="Muy Alta",'Mapa final'!$AA$41="Menor"),CONCATENATE("R6C",'Mapa final'!$O$41),"")</f>
        <v/>
      </c>
      <c r="R11" s="52" t="str">
        <f>IF(AND('Mapa final'!$Y$42="Muy Alta",'Mapa final'!$AA$42="Menor"),CONCATENATE("R6C",'Mapa final'!$O$42),"")</f>
        <v/>
      </c>
      <c r="S11" s="52" t="str">
        <f>IF(AND('Mapa final'!$Y$43="Muy Alta",'Mapa final'!$AA$43="Menor"),CONCATENATE("R6C",'Mapa final'!$O$43),"")</f>
        <v/>
      </c>
      <c r="T11" s="52" t="str">
        <f>IF(AND('Mapa final'!$Y$44="Muy Alta",'Mapa final'!$AA$44="Menor"),CONCATENATE("R6C",'Mapa final'!$O$44),"")</f>
        <v/>
      </c>
      <c r="U11" s="53" t="str">
        <f>IF(AND('Mapa final'!$Y$45="Muy Alta",'Mapa final'!$AA$45="Menor"),CONCATENATE("R6C",'Mapa final'!$O$45),"")</f>
        <v/>
      </c>
      <c r="V11" s="51" t="str">
        <f>IF(AND('Mapa final'!$Y$40="Muy Alta",'Mapa final'!$AA$40="Moderado"),CONCATENATE("R6C",'Mapa final'!$O$40),"")</f>
        <v/>
      </c>
      <c r="W11" s="52" t="str">
        <f>IF(AND('Mapa final'!$Y$41="Muy Alta",'Mapa final'!$AA$41="Moderado"),CONCATENATE("R6C",'Mapa final'!$O$41),"")</f>
        <v/>
      </c>
      <c r="X11" s="52" t="str">
        <f>IF(AND('Mapa final'!$Y$42="Muy Alta",'Mapa final'!$AA$42="Moderado"),CONCATENATE("R6C",'Mapa final'!$O$42),"")</f>
        <v/>
      </c>
      <c r="Y11" s="52" t="str">
        <f>IF(AND('Mapa final'!$Y$43="Muy Alta",'Mapa final'!$AA$43="Moderado"),CONCATENATE("R6C",'Mapa final'!$O$43),"")</f>
        <v/>
      </c>
      <c r="Z11" s="52" t="str">
        <f>IF(AND('Mapa final'!$Y$44="Muy Alta",'Mapa final'!$AA$44="Moderado"),CONCATENATE("R6C",'Mapa final'!$O$44),"")</f>
        <v/>
      </c>
      <c r="AA11" s="53" t="str">
        <f>IF(AND('Mapa final'!$Y$45="Muy Alta",'Mapa final'!$AA$45="Moderado"),CONCATENATE("R6C",'Mapa final'!$O$45),"")</f>
        <v/>
      </c>
      <c r="AB11" s="51" t="str">
        <f>IF(AND('Mapa final'!$Y$40="Muy Alta",'Mapa final'!$AA$40="Mayor"),CONCATENATE("R6C",'Mapa final'!$O$40),"")</f>
        <v/>
      </c>
      <c r="AC11" s="52" t="str">
        <f>IF(AND('Mapa final'!$Y$41="Muy Alta",'Mapa final'!$AA$41="Mayor"),CONCATENATE("R6C",'Mapa final'!$O$41),"")</f>
        <v/>
      </c>
      <c r="AD11" s="52" t="str">
        <f>IF(AND('Mapa final'!$Y$42="Muy Alta",'Mapa final'!$AA$42="Mayor"),CONCATENATE("R6C",'Mapa final'!$O$42),"")</f>
        <v/>
      </c>
      <c r="AE11" s="52" t="str">
        <f>IF(AND('Mapa final'!$Y$43="Muy Alta",'Mapa final'!$AA$43="Mayor"),CONCATENATE("R6C",'Mapa final'!$O$43),"")</f>
        <v/>
      </c>
      <c r="AF11" s="52" t="str">
        <f>IF(AND('Mapa final'!$Y$44="Muy Alta",'Mapa final'!$AA$44="Mayor"),CONCATENATE("R6C",'Mapa final'!$O$44),"")</f>
        <v/>
      </c>
      <c r="AG11" s="53" t="str">
        <f>IF(AND('Mapa final'!$Y$45="Muy Alta",'Mapa final'!$AA$45="Mayor"),CONCATENATE("R6C",'Mapa final'!$O$45),"")</f>
        <v/>
      </c>
      <c r="AH11" s="54" t="str">
        <f>IF(AND('Mapa final'!$Y$40="Muy Alta",'Mapa final'!$AA$40="Catastrófico"),CONCATENATE("R6C",'Mapa final'!$O$40),"")</f>
        <v/>
      </c>
      <c r="AI11" s="55" t="str">
        <f>IF(AND('Mapa final'!$Y$41="Muy Alta",'Mapa final'!$AA$41="Catastrófico"),CONCATENATE("R6C",'Mapa final'!$O$41),"")</f>
        <v/>
      </c>
      <c r="AJ11" s="55" t="str">
        <f>IF(AND('Mapa final'!$Y$42="Muy Alta",'Mapa final'!$AA$42="Catastrófico"),CONCATENATE("R6C",'Mapa final'!$O$42),"")</f>
        <v/>
      </c>
      <c r="AK11" s="55" t="str">
        <f>IF(AND('Mapa final'!$Y$43="Muy Alta",'Mapa final'!$AA$43="Catastrófico"),CONCATENATE("R6C",'Mapa final'!$O$43),"")</f>
        <v/>
      </c>
      <c r="AL11" s="55" t="str">
        <f>IF(AND('Mapa final'!$Y$44="Muy Alta",'Mapa final'!$AA$44="Catastrófico"),CONCATENATE("R6C",'Mapa final'!$O$44),"")</f>
        <v/>
      </c>
      <c r="AM11" s="56" t="str">
        <f>IF(AND('Mapa final'!$Y$45="Muy Alta",'Mapa final'!$AA$45="Catastrófico"),CONCATENATE("R6C",'Mapa final'!$O$45),"")</f>
        <v/>
      </c>
      <c r="AN11" s="82"/>
      <c r="AO11" s="404"/>
      <c r="AP11" s="405"/>
      <c r="AQ11" s="405"/>
      <c r="AR11" s="405"/>
      <c r="AS11" s="405"/>
      <c r="AT11" s="406"/>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343"/>
      <c r="C12" s="343"/>
      <c r="D12" s="344"/>
      <c r="E12" s="384"/>
      <c r="F12" s="385"/>
      <c r="G12" s="385"/>
      <c r="H12" s="385"/>
      <c r="I12" s="386"/>
      <c r="J12" s="51" t="str">
        <f>IF(AND('Mapa final'!$Y$46="Muy Alta",'Mapa final'!$AA$46="Leve"),CONCATENATE("R7C",'Mapa final'!$O$46),"")</f>
        <v/>
      </c>
      <c r="K12" s="52" t="str">
        <f>IF(AND('Mapa final'!$Y$47="Muy Alta",'Mapa final'!$AA$47="Leve"),CONCATENATE("R7C",'Mapa final'!$O$47),"")</f>
        <v/>
      </c>
      <c r="L12" s="52" t="str">
        <f>IF(AND('Mapa final'!$Y$48="Muy Alta",'Mapa final'!$AA$48="Leve"),CONCATENATE("R7C",'Mapa final'!$O$48),"")</f>
        <v/>
      </c>
      <c r="M12" s="52" t="str">
        <f>IF(AND('Mapa final'!$Y$49="Muy Alta",'Mapa final'!$AA$49="Leve"),CONCATENATE("R7C",'Mapa final'!$O$49),"")</f>
        <v/>
      </c>
      <c r="N12" s="52" t="str">
        <f>IF(AND('Mapa final'!$Y$50="Muy Alta",'Mapa final'!$AA$50="Leve"),CONCATENATE("R7C",'Mapa final'!$O$50),"")</f>
        <v/>
      </c>
      <c r="O12" s="53" t="str">
        <f>IF(AND('Mapa final'!$Y$51="Muy Alta",'Mapa final'!$AA$51="Leve"),CONCATENATE("R7C",'Mapa final'!$O$51),"")</f>
        <v/>
      </c>
      <c r="P12" s="51" t="str">
        <f>IF(AND('Mapa final'!$Y$46="Muy Alta",'Mapa final'!$AA$46="Menor"),CONCATENATE("R7C",'Mapa final'!$O$46),"")</f>
        <v/>
      </c>
      <c r="Q12" s="52" t="str">
        <f>IF(AND('Mapa final'!$Y$47="Muy Alta",'Mapa final'!$AA$47="Menor"),CONCATENATE("R7C",'Mapa final'!$O$47),"")</f>
        <v/>
      </c>
      <c r="R12" s="52" t="str">
        <f>IF(AND('Mapa final'!$Y$48="Muy Alta",'Mapa final'!$AA$48="Menor"),CONCATENATE("R7C",'Mapa final'!$O$48),"")</f>
        <v/>
      </c>
      <c r="S12" s="52" t="str">
        <f>IF(AND('Mapa final'!$Y$49="Muy Alta",'Mapa final'!$AA$49="Menor"),CONCATENATE("R7C",'Mapa final'!$O$49),"")</f>
        <v/>
      </c>
      <c r="T12" s="52" t="str">
        <f>IF(AND('Mapa final'!$Y$50="Muy Alta",'Mapa final'!$AA$50="Menor"),CONCATENATE("R7C",'Mapa final'!$O$50),"")</f>
        <v/>
      </c>
      <c r="U12" s="53" t="str">
        <f>IF(AND('Mapa final'!$Y$51="Muy Alta",'Mapa final'!$AA$51="Menor"),CONCATENATE("R7C",'Mapa final'!$O$51),"")</f>
        <v/>
      </c>
      <c r="V12" s="51" t="str">
        <f>IF(AND('Mapa final'!$Y$46="Muy Alta",'Mapa final'!$AA$46="Moderado"),CONCATENATE("R7C",'Mapa final'!$O$46),"")</f>
        <v/>
      </c>
      <c r="W12" s="52" t="str">
        <f>IF(AND('Mapa final'!$Y$47="Muy Alta",'Mapa final'!$AA$47="Moderado"),CONCATENATE("R7C",'Mapa final'!$O$47),"")</f>
        <v/>
      </c>
      <c r="X12" s="52" t="str">
        <f>IF(AND('Mapa final'!$Y$48="Muy Alta",'Mapa final'!$AA$48="Moderado"),CONCATENATE("R7C",'Mapa final'!$O$48),"")</f>
        <v/>
      </c>
      <c r="Y12" s="52" t="str">
        <f>IF(AND('Mapa final'!$Y$49="Muy Alta",'Mapa final'!$AA$49="Moderado"),CONCATENATE("R7C",'Mapa final'!$O$49),"")</f>
        <v/>
      </c>
      <c r="Z12" s="52" t="str">
        <f>IF(AND('Mapa final'!$Y$50="Muy Alta",'Mapa final'!$AA$50="Moderado"),CONCATENATE("R7C",'Mapa final'!$O$50),"")</f>
        <v/>
      </c>
      <c r="AA12" s="53" t="str">
        <f>IF(AND('Mapa final'!$Y$51="Muy Alta",'Mapa final'!$AA$51="Moderado"),CONCATENATE("R7C",'Mapa final'!$O$51),"")</f>
        <v/>
      </c>
      <c r="AB12" s="51" t="str">
        <f>IF(AND('Mapa final'!$Y$46="Muy Alta",'Mapa final'!$AA$46="Mayor"),CONCATENATE("R7C",'Mapa final'!$O$46),"")</f>
        <v/>
      </c>
      <c r="AC12" s="52" t="str">
        <f>IF(AND('Mapa final'!$Y$47="Muy Alta",'Mapa final'!$AA$47="Mayor"),CONCATENATE("R7C",'Mapa final'!$O$47),"")</f>
        <v/>
      </c>
      <c r="AD12" s="52" t="str">
        <f>IF(AND('Mapa final'!$Y$48="Muy Alta",'Mapa final'!$AA$48="Mayor"),CONCATENATE("R7C",'Mapa final'!$O$48),"")</f>
        <v/>
      </c>
      <c r="AE12" s="52" t="str">
        <f>IF(AND('Mapa final'!$Y$49="Muy Alta",'Mapa final'!$AA$49="Mayor"),CONCATENATE("R7C",'Mapa final'!$O$49),"")</f>
        <v/>
      </c>
      <c r="AF12" s="52" t="str">
        <f>IF(AND('Mapa final'!$Y$50="Muy Alta",'Mapa final'!$AA$50="Mayor"),CONCATENATE("R7C",'Mapa final'!$O$50),"")</f>
        <v/>
      </c>
      <c r="AG12" s="53" t="str">
        <f>IF(AND('Mapa final'!$Y$51="Muy Alta",'Mapa final'!$AA$51="Mayor"),CONCATENATE("R7C",'Mapa final'!$O$51),"")</f>
        <v/>
      </c>
      <c r="AH12" s="54" t="str">
        <f>IF(AND('Mapa final'!$Y$46="Muy Alta",'Mapa final'!$AA$46="Catastrófico"),CONCATENATE("R7C",'Mapa final'!$O$46),"")</f>
        <v/>
      </c>
      <c r="AI12" s="55" t="str">
        <f>IF(AND('Mapa final'!$Y$47="Muy Alta",'Mapa final'!$AA$47="Catastrófico"),CONCATENATE("R7C",'Mapa final'!$O$47),"")</f>
        <v/>
      </c>
      <c r="AJ12" s="55" t="str">
        <f>IF(AND('Mapa final'!$Y$48="Muy Alta",'Mapa final'!$AA$48="Catastrófico"),CONCATENATE("R7C",'Mapa final'!$O$48),"")</f>
        <v/>
      </c>
      <c r="AK12" s="55" t="str">
        <f>IF(AND('Mapa final'!$Y$49="Muy Alta",'Mapa final'!$AA$49="Catastrófico"),CONCATENATE("R7C",'Mapa final'!$O$49),"")</f>
        <v/>
      </c>
      <c r="AL12" s="55" t="str">
        <f>IF(AND('Mapa final'!$Y$50="Muy Alta",'Mapa final'!$AA$50="Catastrófico"),CONCATENATE("R7C",'Mapa final'!$O$50),"")</f>
        <v/>
      </c>
      <c r="AM12" s="56" t="str">
        <f>IF(AND('Mapa final'!$Y$51="Muy Alta",'Mapa final'!$AA$51="Catastrófico"),CONCATENATE("R7C",'Mapa final'!$O$51),"")</f>
        <v/>
      </c>
      <c r="AN12" s="82"/>
      <c r="AO12" s="404"/>
      <c r="AP12" s="405"/>
      <c r="AQ12" s="405"/>
      <c r="AR12" s="405"/>
      <c r="AS12" s="405"/>
      <c r="AT12" s="406"/>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343"/>
      <c r="C13" s="343"/>
      <c r="D13" s="344"/>
      <c r="E13" s="384"/>
      <c r="F13" s="385"/>
      <c r="G13" s="385"/>
      <c r="H13" s="385"/>
      <c r="I13" s="386"/>
      <c r="J13" s="51" t="str">
        <f>IF(AND('Mapa final'!$Y$52="Muy Alta",'Mapa final'!$AA$52="Leve"),CONCATENATE("R8C",'Mapa final'!$O$52),"")</f>
        <v/>
      </c>
      <c r="K13" s="52" t="str">
        <f>IF(AND('Mapa final'!$Y$53="Muy Alta",'Mapa final'!$AA$53="Leve"),CONCATENATE("R8C",'Mapa final'!$O$53),"")</f>
        <v/>
      </c>
      <c r="L13" s="52" t="str">
        <f>IF(AND('Mapa final'!$Y$54="Muy Alta",'Mapa final'!$AA$54="Leve"),CONCATENATE("R8C",'Mapa final'!$O$54),"")</f>
        <v/>
      </c>
      <c r="M13" s="52" t="str">
        <f>IF(AND('Mapa final'!$Y$55="Muy Alta",'Mapa final'!$AA$55="Leve"),CONCATENATE("R8C",'Mapa final'!$O$55),"")</f>
        <v/>
      </c>
      <c r="N13" s="52" t="str">
        <f>IF(AND('Mapa final'!$Y$56="Muy Alta",'Mapa final'!$AA$56="Leve"),CONCATENATE("R8C",'Mapa final'!$O$56),"")</f>
        <v/>
      </c>
      <c r="O13" s="53" t="str">
        <f>IF(AND('Mapa final'!$Y$57="Muy Alta",'Mapa final'!$AA$57="Leve"),CONCATENATE("R8C",'Mapa final'!$O$57),"")</f>
        <v/>
      </c>
      <c r="P13" s="51" t="str">
        <f>IF(AND('Mapa final'!$Y$52="Muy Alta",'Mapa final'!$AA$52="Menor"),CONCATENATE("R8C",'Mapa final'!$O$52),"")</f>
        <v/>
      </c>
      <c r="Q13" s="52" t="str">
        <f>IF(AND('Mapa final'!$Y$53="Muy Alta",'Mapa final'!$AA$53="Menor"),CONCATENATE("R8C",'Mapa final'!$O$53),"")</f>
        <v/>
      </c>
      <c r="R13" s="52" t="str">
        <f>IF(AND('Mapa final'!$Y$54="Muy Alta",'Mapa final'!$AA$54="Menor"),CONCATENATE("R8C",'Mapa final'!$O$54),"")</f>
        <v/>
      </c>
      <c r="S13" s="52" t="str">
        <f>IF(AND('Mapa final'!$Y$55="Muy Alta",'Mapa final'!$AA$55="Menor"),CONCATENATE("R8C",'Mapa final'!$O$55),"")</f>
        <v/>
      </c>
      <c r="T13" s="52" t="str">
        <f>IF(AND('Mapa final'!$Y$56="Muy Alta",'Mapa final'!$AA$56="Menor"),CONCATENATE("R8C",'Mapa final'!$O$56),"")</f>
        <v/>
      </c>
      <c r="U13" s="53" t="str">
        <f>IF(AND('Mapa final'!$Y$57="Muy Alta",'Mapa final'!$AA$57="Menor"),CONCATENATE("R8C",'Mapa final'!$O$57),"")</f>
        <v/>
      </c>
      <c r="V13" s="51" t="str">
        <f>IF(AND('Mapa final'!$Y$52="Muy Alta",'Mapa final'!$AA$52="Moderado"),CONCATENATE("R8C",'Mapa final'!$O$52),"")</f>
        <v/>
      </c>
      <c r="W13" s="52" t="str">
        <f>IF(AND('Mapa final'!$Y$53="Muy Alta",'Mapa final'!$AA$53="Moderado"),CONCATENATE("R8C",'Mapa final'!$O$53),"")</f>
        <v/>
      </c>
      <c r="X13" s="52" t="str">
        <f>IF(AND('Mapa final'!$Y$54="Muy Alta",'Mapa final'!$AA$54="Moderado"),CONCATENATE("R8C",'Mapa final'!$O$54),"")</f>
        <v/>
      </c>
      <c r="Y13" s="52" t="str">
        <f>IF(AND('Mapa final'!$Y$55="Muy Alta",'Mapa final'!$AA$55="Moderado"),CONCATENATE("R8C",'Mapa final'!$O$55),"")</f>
        <v/>
      </c>
      <c r="Z13" s="52" t="str">
        <f>IF(AND('Mapa final'!$Y$56="Muy Alta",'Mapa final'!$AA$56="Moderado"),CONCATENATE("R8C",'Mapa final'!$O$56),"")</f>
        <v/>
      </c>
      <c r="AA13" s="53" t="str">
        <f>IF(AND('Mapa final'!$Y$57="Muy Alta",'Mapa final'!$AA$57="Moderado"),CONCATENATE("R8C",'Mapa final'!$O$57),"")</f>
        <v/>
      </c>
      <c r="AB13" s="51" t="str">
        <f>IF(AND('Mapa final'!$Y$52="Muy Alta",'Mapa final'!$AA$52="Mayor"),CONCATENATE("R8C",'Mapa final'!$O$52),"")</f>
        <v/>
      </c>
      <c r="AC13" s="52" t="str">
        <f>IF(AND('Mapa final'!$Y$53="Muy Alta",'Mapa final'!$AA$53="Mayor"),CONCATENATE("R8C",'Mapa final'!$O$53),"")</f>
        <v/>
      </c>
      <c r="AD13" s="52" t="str">
        <f>IF(AND('Mapa final'!$Y$54="Muy Alta",'Mapa final'!$AA$54="Mayor"),CONCATENATE("R8C",'Mapa final'!$O$54),"")</f>
        <v/>
      </c>
      <c r="AE13" s="52" t="str">
        <f>IF(AND('Mapa final'!$Y$55="Muy Alta",'Mapa final'!$AA$55="Mayor"),CONCATENATE("R8C",'Mapa final'!$O$55),"")</f>
        <v/>
      </c>
      <c r="AF13" s="52" t="str">
        <f>IF(AND('Mapa final'!$Y$56="Muy Alta",'Mapa final'!$AA$56="Mayor"),CONCATENATE("R8C",'Mapa final'!$O$56),"")</f>
        <v/>
      </c>
      <c r="AG13" s="53" t="str">
        <f>IF(AND('Mapa final'!$Y$57="Muy Alta",'Mapa final'!$AA$57="Mayor"),CONCATENATE("R8C",'Mapa final'!$O$57),"")</f>
        <v/>
      </c>
      <c r="AH13" s="54" t="str">
        <f>IF(AND('Mapa final'!$Y$52="Muy Alta",'Mapa final'!$AA$52="Catastrófico"),CONCATENATE("R8C",'Mapa final'!$O$52),"")</f>
        <v/>
      </c>
      <c r="AI13" s="55" t="str">
        <f>IF(AND('Mapa final'!$Y$53="Muy Alta",'Mapa final'!$AA$53="Catastrófico"),CONCATENATE("R8C",'Mapa final'!$O$53),"")</f>
        <v/>
      </c>
      <c r="AJ13" s="55" t="str">
        <f>IF(AND('Mapa final'!$Y$54="Muy Alta",'Mapa final'!$AA$54="Catastrófico"),CONCATENATE("R8C",'Mapa final'!$O$54),"")</f>
        <v/>
      </c>
      <c r="AK13" s="55" t="str">
        <f>IF(AND('Mapa final'!$Y$55="Muy Alta",'Mapa final'!$AA$55="Catastrófico"),CONCATENATE("R8C",'Mapa final'!$O$55),"")</f>
        <v/>
      </c>
      <c r="AL13" s="55" t="str">
        <f>IF(AND('Mapa final'!$Y$56="Muy Alta",'Mapa final'!$AA$56="Catastrófico"),CONCATENATE("R8C",'Mapa final'!$O$56),"")</f>
        <v/>
      </c>
      <c r="AM13" s="56" t="str">
        <f>IF(AND('Mapa final'!$Y$57="Muy Alta",'Mapa final'!$AA$57="Catastrófico"),CONCATENATE("R8C",'Mapa final'!$O$57),"")</f>
        <v/>
      </c>
      <c r="AN13" s="82"/>
      <c r="AO13" s="404"/>
      <c r="AP13" s="405"/>
      <c r="AQ13" s="405"/>
      <c r="AR13" s="405"/>
      <c r="AS13" s="405"/>
      <c r="AT13" s="406"/>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343"/>
      <c r="C14" s="343"/>
      <c r="D14" s="344"/>
      <c r="E14" s="384"/>
      <c r="F14" s="385"/>
      <c r="G14" s="385"/>
      <c r="H14" s="385"/>
      <c r="I14" s="386"/>
      <c r="J14" s="51" t="str">
        <f>IF(AND('Mapa final'!$Y$58="Muy Alta",'Mapa final'!$AA$58="Leve"),CONCATENATE("R9C",'Mapa final'!$O$58),"")</f>
        <v/>
      </c>
      <c r="K14" s="52" t="str">
        <f>IF(AND('Mapa final'!$Y$59="Muy Alta",'Mapa final'!$AA$59="Leve"),CONCATENATE("R9C",'Mapa final'!$O$59),"")</f>
        <v/>
      </c>
      <c r="L14" s="52" t="str">
        <f>IF(AND('Mapa final'!$Y$60="Muy Alta",'Mapa final'!$AA$60="Leve"),CONCATENATE("R9C",'Mapa final'!$O$60),"")</f>
        <v/>
      </c>
      <c r="M14" s="52" t="str">
        <f>IF(AND('Mapa final'!$Y$61="Muy Alta",'Mapa final'!$AA$61="Leve"),CONCATENATE("R9C",'Mapa final'!$O$61),"")</f>
        <v/>
      </c>
      <c r="N14" s="52" t="str">
        <f>IF(AND('Mapa final'!$Y$62="Muy Alta",'Mapa final'!$AA$62="Leve"),CONCATENATE("R9C",'Mapa final'!$O$62),"")</f>
        <v/>
      </c>
      <c r="O14" s="53" t="str">
        <f>IF(AND('Mapa final'!$Y$63="Muy Alta",'Mapa final'!$AA$63="Leve"),CONCATENATE("R9C",'Mapa final'!$O$63),"")</f>
        <v/>
      </c>
      <c r="P14" s="51" t="str">
        <f>IF(AND('Mapa final'!$Y$58="Muy Alta",'Mapa final'!$AA$58="Menor"),CONCATENATE("R9C",'Mapa final'!$O$58),"")</f>
        <v/>
      </c>
      <c r="Q14" s="52" t="str">
        <f>IF(AND('Mapa final'!$Y$59="Muy Alta",'Mapa final'!$AA$59="Menor"),CONCATENATE("R9C",'Mapa final'!$O$59),"")</f>
        <v/>
      </c>
      <c r="R14" s="52" t="str">
        <f>IF(AND('Mapa final'!$Y$60="Muy Alta",'Mapa final'!$AA$60="Menor"),CONCATENATE("R9C",'Mapa final'!$O$60),"")</f>
        <v/>
      </c>
      <c r="S14" s="52" t="str">
        <f>IF(AND('Mapa final'!$Y$61="Muy Alta",'Mapa final'!$AA$61="Menor"),CONCATENATE("R9C",'Mapa final'!$O$61),"")</f>
        <v/>
      </c>
      <c r="T14" s="52" t="str">
        <f>IF(AND('Mapa final'!$Y$62="Muy Alta",'Mapa final'!$AA$62="Menor"),CONCATENATE("R9C",'Mapa final'!$O$62),"")</f>
        <v/>
      </c>
      <c r="U14" s="53" t="str">
        <f>IF(AND('Mapa final'!$Y$63="Muy Alta",'Mapa final'!$AA$63="Menor"),CONCATENATE("R9C",'Mapa final'!$O$63),"")</f>
        <v/>
      </c>
      <c r="V14" s="51" t="str">
        <f>IF(AND('Mapa final'!$Y$58="Muy Alta",'Mapa final'!$AA$58="Moderado"),CONCATENATE("R9C",'Mapa final'!$O$58),"")</f>
        <v/>
      </c>
      <c r="W14" s="52" t="str">
        <f>IF(AND('Mapa final'!$Y$59="Muy Alta",'Mapa final'!$AA$59="Moderado"),CONCATENATE("R9C",'Mapa final'!$O$59),"")</f>
        <v/>
      </c>
      <c r="X14" s="52" t="str">
        <f>IF(AND('Mapa final'!$Y$60="Muy Alta",'Mapa final'!$AA$60="Moderado"),CONCATENATE("R9C",'Mapa final'!$O$60),"")</f>
        <v/>
      </c>
      <c r="Y14" s="52" t="str">
        <f>IF(AND('Mapa final'!$Y$61="Muy Alta",'Mapa final'!$AA$61="Moderado"),CONCATENATE("R9C",'Mapa final'!$O$61),"")</f>
        <v/>
      </c>
      <c r="Z14" s="52" t="str">
        <f>IF(AND('Mapa final'!$Y$62="Muy Alta",'Mapa final'!$AA$62="Moderado"),CONCATENATE("R9C",'Mapa final'!$O$62),"")</f>
        <v/>
      </c>
      <c r="AA14" s="53" t="str">
        <f>IF(AND('Mapa final'!$Y$63="Muy Alta",'Mapa final'!$AA$63="Moderado"),CONCATENATE("R9C",'Mapa final'!$O$63),"")</f>
        <v/>
      </c>
      <c r="AB14" s="51" t="str">
        <f>IF(AND('Mapa final'!$Y$58="Muy Alta",'Mapa final'!$AA$58="Mayor"),CONCATENATE("R9C",'Mapa final'!$O$58),"")</f>
        <v/>
      </c>
      <c r="AC14" s="52" t="str">
        <f>IF(AND('Mapa final'!$Y$59="Muy Alta",'Mapa final'!$AA$59="Mayor"),CONCATENATE("R9C",'Mapa final'!$O$59),"")</f>
        <v/>
      </c>
      <c r="AD14" s="52" t="str">
        <f>IF(AND('Mapa final'!$Y$60="Muy Alta",'Mapa final'!$AA$60="Mayor"),CONCATENATE("R9C",'Mapa final'!$O$60),"")</f>
        <v/>
      </c>
      <c r="AE14" s="52" t="str">
        <f>IF(AND('Mapa final'!$Y$61="Muy Alta",'Mapa final'!$AA$61="Mayor"),CONCATENATE("R9C",'Mapa final'!$O$61),"")</f>
        <v/>
      </c>
      <c r="AF14" s="52" t="str">
        <f>IF(AND('Mapa final'!$Y$62="Muy Alta",'Mapa final'!$AA$62="Mayor"),CONCATENATE("R9C",'Mapa final'!$O$62),"")</f>
        <v/>
      </c>
      <c r="AG14" s="53" t="str">
        <f>IF(AND('Mapa final'!$Y$63="Muy Alta",'Mapa final'!$AA$63="Mayor"),CONCATENATE("R9C",'Mapa final'!$O$63),"")</f>
        <v/>
      </c>
      <c r="AH14" s="54" t="str">
        <f>IF(AND('Mapa final'!$Y$58="Muy Alta",'Mapa final'!$AA$58="Catastrófico"),CONCATENATE("R9C",'Mapa final'!$O$58),"")</f>
        <v/>
      </c>
      <c r="AI14" s="55" t="str">
        <f>IF(AND('Mapa final'!$Y$59="Muy Alta",'Mapa final'!$AA$59="Catastrófico"),CONCATENATE("R9C",'Mapa final'!$O$59),"")</f>
        <v/>
      </c>
      <c r="AJ14" s="55" t="str">
        <f>IF(AND('Mapa final'!$Y$60="Muy Alta",'Mapa final'!$AA$60="Catastrófico"),CONCATENATE("R9C",'Mapa final'!$O$60),"")</f>
        <v/>
      </c>
      <c r="AK14" s="55" t="str">
        <f>IF(AND('Mapa final'!$Y$61="Muy Alta",'Mapa final'!$AA$61="Catastrófico"),CONCATENATE("R9C",'Mapa final'!$O$61),"")</f>
        <v/>
      </c>
      <c r="AL14" s="55" t="str">
        <f>IF(AND('Mapa final'!$Y$62="Muy Alta",'Mapa final'!$AA$62="Catastrófico"),CONCATENATE("R9C",'Mapa final'!$O$62),"")</f>
        <v/>
      </c>
      <c r="AM14" s="56" t="str">
        <f>IF(AND('Mapa final'!$Y$63="Muy Alta",'Mapa final'!$AA$63="Catastrófico"),CONCATENATE("R9C",'Mapa final'!$O$63),"")</f>
        <v/>
      </c>
      <c r="AN14" s="82"/>
      <c r="AO14" s="404"/>
      <c r="AP14" s="405"/>
      <c r="AQ14" s="405"/>
      <c r="AR14" s="405"/>
      <c r="AS14" s="405"/>
      <c r="AT14" s="406"/>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343"/>
      <c r="C15" s="343"/>
      <c r="D15" s="344"/>
      <c r="E15" s="387"/>
      <c r="F15" s="388"/>
      <c r="G15" s="388"/>
      <c r="H15" s="388"/>
      <c r="I15" s="389"/>
      <c r="J15" s="57" t="str">
        <f>IF(AND('Mapa final'!$Y$64="Muy Alta",'Mapa final'!$AA$64="Leve"),CONCATENATE("R10C",'Mapa final'!$O$64),"")</f>
        <v/>
      </c>
      <c r="K15" s="58" t="str">
        <f>IF(AND('Mapa final'!$Y$65="Muy Alta",'Mapa final'!$AA$65="Leve"),CONCATENATE("R10C",'Mapa final'!$O$65),"")</f>
        <v/>
      </c>
      <c r="L15" s="58" t="str">
        <f>IF(AND('Mapa final'!$Y$66="Muy Alta",'Mapa final'!$AA$66="Leve"),CONCATENATE("R10C",'Mapa final'!$O$66),"")</f>
        <v/>
      </c>
      <c r="M15" s="58" t="str">
        <f>IF(AND('Mapa final'!$Y$67="Muy Alta",'Mapa final'!$AA$67="Leve"),CONCATENATE("R10C",'Mapa final'!$O$67),"")</f>
        <v/>
      </c>
      <c r="N15" s="58" t="str">
        <f>IF(AND('Mapa final'!$Y$68="Muy Alta",'Mapa final'!$AA$68="Leve"),CONCATENATE("R10C",'Mapa final'!$O$68),"")</f>
        <v/>
      </c>
      <c r="O15" s="59" t="str">
        <f>IF(AND('Mapa final'!$Y$69="Muy Alta",'Mapa final'!$AA$69="Leve"),CONCATENATE("R10C",'Mapa final'!$O$69),"")</f>
        <v/>
      </c>
      <c r="P15" s="51" t="str">
        <f>IF(AND('Mapa final'!$Y$64="Muy Alta",'Mapa final'!$AA$64="Menor"),CONCATENATE("R10C",'Mapa final'!$O$64),"")</f>
        <v/>
      </c>
      <c r="Q15" s="52" t="str">
        <f>IF(AND('Mapa final'!$Y$65="Muy Alta",'Mapa final'!$AA$65="Menor"),CONCATENATE("R10C",'Mapa final'!$O$65),"")</f>
        <v/>
      </c>
      <c r="R15" s="52" t="str">
        <f>IF(AND('Mapa final'!$Y$66="Muy Alta",'Mapa final'!$AA$66="Menor"),CONCATENATE("R10C",'Mapa final'!$O$66),"")</f>
        <v/>
      </c>
      <c r="S15" s="52" t="str">
        <f>IF(AND('Mapa final'!$Y$67="Muy Alta",'Mapa final'!$AA$67="Menor"),CONCATENATE("R10C",'Mapa final'!$O$67),"")</f>
        <v/>
      </c>
      <c r="T15" s="52" t="str">
        <f>IF(AND('Mapa final'!$Y$68="Muy Alta",'Mapa final'!$AA$68="Menor"),CONCATENATE("R10C",'Mapa final'!$O$68),"")</f>
        <v/>
      </c>
      <c r="U15" s="53" t="str">
        <f>IF(AND('Mapa final'!$Y$69="Muy Alta",'Mapa final'!$AA$69="Menor"),CONCATENATE("R10C",'Mapa final'!$O$69),"")</f>
        <v/>
      </c>
      <c r="V15" s="57" t="str">
        <f>IF(AND('Mapa final'!$Y$64="Muy Alta",'Mapa final'!$AA$64="Moderado"),CONCATENATE("R10C",'Mapa final'!$O$64),"")</f>
        <v/>
      </c>
      <c r="W15" s="58" t="str">
        <f>IF(AND('Mapa final'!$Y$65="Muy Alta",'Mapa final'!$AA$65="Moderado"),CONCATENATE("R10C",'Mapa final'!$O$65),"")</f>
        <v/>
      </c>
      <c r="X15" s="58" t="str">
        <f>IF(AND('Mapa final'!$Y$66="Muy Alta",'Mapa final'!$AA$66="Moderado"),CONCATENATE("R10C",'Mapa final'!$O$66),"")</f>
        <v/>
      </c>
      <c r="Y15" s="58" t="str">
        <f>IF(AND('Mapa final'!$Y$67="Muy Alta",'Mapa final'!$AA$67="Moderado"),CONCATENATE("R10C",'Mapa final'!$O$67),"")</f>
        <v/>
      </c>
      <c r="Z15" s="58" t="str">
        <f>IF(AND('Mapa final'!$Y$68="Muy Alta",'Mapa final'!$AA$68="Moderado"),CONCATENATE("R10C",'Mapa final'!$O$68),"")</f>
        <v/>
      </c>
      <c r="AA15" s="59" t="str">
        <f>IF(AND('Mapa final'!$Y$69="Muy Alta",'Mapa final'!$AA$69="Moderado"),CONCATENATE("R10C",'Mapa final'!$O$69),"")</f>
        <v/>
      </c>
      <c r="AB15" s="51" t="str">
        <f>IF(AND('Mapa final'!$Y$64="Muy Alta",'Mapa final'!$AA$64="Mayor"),CONCATENATE("R10C",'Mapa final'!$O$64),"")</f>
        <v/>
      </c>
      <c r="AC15" s="52" t="str">
        <f>IF(AND('Mapa final'!$Y$65="Muy Alta",'Mapa final'!$AA$65="Mayor"),CONCATENATE("R10C",'Mapa final'!$O$65),"")</f>
        <v/>
      </c>
      <c r="AD15" s="52" t="str">
        <f>IF(AND('Mapa final'!$Y$66="Muy Alta",'Mapa final'!$AA$66="Mayor"),CONCATENATE("R10C",'Mapa final'!$O$66),"")</f>
        <v/>
      </c>
      <c r="AE15" s="52" t="str">
        <f>IF(AND('Mapa final'!$Y$67="Muy Alta",'Mapa final'!$AA$67="Mayor"),CONCATENATE("R10C",'Mapa final'!$O$67),"")</f>
        <v/>
      </c>
      <c r="AF15" s="52" t="str">
        <f>IF(AND('Mapa final'!$Y$68="Muy Alta",'Mapa final'!$AA$68="Mayor"),CONCATENATE("R10C",'Mapa final'!$O$68),"")</f>
        <v/>
      </c>
      <c r="AG15" s="53" t="str">
        <f>IF(AND('Mapa final'!$Y$69="Muy Alta",'Mapa final'!$AA$69="Mayor"),CONCATENATE("R10C",'Mapa final'!$O$69),"")</f>
        <v/>
      </c>
      <c r="AH15" s="60" t="str">
        <f>IF(AND('Mapa final'!$Y$64="Muy Alta",'Mapa final'!$AA$64="Catastrófico"),CONCATENATE("R10C",'Mapa final'!$O$64),"")</f>
        <v/>
      </c>
      <c r="AI15" s="61" t="str">
        <f>IF(AND('Mapa final'!$Y$65="Muy Alta",'Mapa final'!$AA$65="Catastrófico"),CONCATENATE("R10C",'Mapa final'!$O$65),"")</f>
        <v/>
      </c>
      <c r="AJ15" s="61" t="str">
        <f>IF(AND('Mapa final'!$Y$66="Muy Alta",'Mapa final'!$AA$66="Catastrófico"),CONCATENATE("R10C",'Mapa final'!$O$66),"")</f>
        <v/>
      </c>
      <c r="AK15" s="61" t="str">
        <f>IF(AND('Mapa final'!$Y$67="Muy Alta",'Mapa final'!$AA$67="Catastrófico"),CONCATENATE("R10C",'Mapa final'!$O$67),"")</f>
        <v/>
      </c>
      <c r="AL15" s="61" t="str">
        <f>IF(AND('Mapa final'!$Y$68="Muy Alta",'Mapa final'!$AA$68="Catastrófico"),CONCATENATE("R10C",'Mapa final'!$O$68),"")</f>
        <v/>
      </c>
      <c r="AM15" s="62" t="str">
        <f>IF(AND('Mapa final'!$Y$69="Muy Alta",'Mapa final'!$AA$69="Catastrófico"),CONCATENATE("R10C",'Mapa final'!$O$69),"")</f>
        <v/>
      </c>
      <c r="AN15" s="82"/>
      <c r="AO15" s="407"/>
      <c r="AP15" s="408"/>
      <c r="AQ15" s="408"/>
      <c r="AR15" s="408"/>
      <c r="AS15" s="408"/>
      <c r="AT15" s="409"/>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343"/>
      <c r="C16" s="343"/>
      <c r="D16" s="344"/>
      <c r="E16" s="381" t="s">
        <v>114</v>
      </c>
      <c r="F16" s="382"/>
      <c r="G16" s="382"/>
      <c r="H16" s="382"/>
      <c r="I16" s="382"/>
      <c r="J16" s="63" t="str">
        <f>IF(AND('Mapa final'!$Y$10="Alta",'Mapa final'!$AA$10="Leve"),CONCATENATE("R1C",'Mapa final'!$O$10),"")</f>
        <v/>
      </c>
      <c r="K16" s="64" t="str">
        <f>IF(AND('Mapa final'!$Y$11="Alta",'Mapa final'!$AA$11="Leve"),CONCATENATE("R1C",'Mapa final'!$O$11),"")</f>
        <v/>
      </c>
      <c r="L16" s="64" t="str">
        <f>IF(AND('Mapa final'!$Y$12="Alta",'Mapa final'!$AA$12="Leve"),CONCATENATE("R1C",'Mapa final'!$O$12),"")</f>
        <v/>
      </c>
      <c r="M16" s="64" t="str">
        <f>IF(AND('Mapa final'!$Y$13="Alta",'Mapa final'!$AA$13="Leve"),CONCATENATE("R1C",'Mapa final'!$O$13),"")</f>
        <v/>
      </c>
      <c r="N16" s="64" t="str">
        <f>IF(AND('Mapa final'!$Y$14="Alta",'Mapa final'!$AA$14="Leve"),CONCATENATE("R1C",'Mapa final'!$O$14),"")</f>
        <v/>
      </c>
      <c r="O16" s="65" t="str">
        <f>IF(AND('Mapa final'!$Y$15="Alta",'Mapa final'!$AA$15="Leve"),CONCATENATE("R1C",'Mapa final'!$O$15),"")</f>
        <v/>
      </c>
      <c r="P16" s="63" t="str">
        <f>IF(AND('Mapa final'!$Y$10="Alta",'Mapa final'!$AA$10="Menor"),CONCATENATE("R1C",'Mapa final'!$O$10),"")</f>
        <v/>
      </c>
      <c r="Q16" s="64" t="str">
        <f>IF(AND('Mapa final'!$Y$11="Alta",'Mapa final'!$AA$11="Menor"),CONCATENATE("R1C",'Mapa final'!$O$11),"")</f>
        <v/>
      </c>
      <c r="R16" s="64" t="str">
        <f>IF(AND('Mapa final'!$Y$12="Alta",'Mapa final'!$AA$12="Menor"),CONCATENATE("R1C",'Mapa final'!$O$12),"")</f>
        <v/>
      </c>
      <c r="S16" s="64" t="str">
        <f>IF(AND('Mapa final'!$Y$13="Alta",'Mapa final'!$AA$13="Menor"),CONCATENATE("R1C",'Mapa final'!$O$13),"")</f>
        <v/>
      </c>
      <c r="T16" s="64" t="str">
        <f>IF(AND('Mapa final'!$Y$14="Alta",'Mapa final'!$AA$14="Menor"),CONCATENATE("R1C",'Mapa final'!$O$14),"")</f>
        <v/>
      </c>
      <c r="U16" s="65" t="str">
        <f>IF(AND('Mapa final'!$Y$15="Alta",'Mapa final'!$AA$15="Menor"),CONCATENATE("R1C",'Mapa final'!$O$15),"")</f>
        <v/>
      </c>
      <c r="V16" s="45" t="str">
        <f>IF(AND('Mapa final'!$Y$10="Alta",'Mapa final'!$AA$10="Moderado"),CONCATENATE("R1C",'Mapa final'!$O$10),"")</f>
        <v/>
      </c>
      <c r="W16" s="46" t="str">
        <f>IF(AND('Mapa final'!$Y$11="Alta",'Mapa final'!$AA$11="Moderado"),CONCATENATE("R1C",'Mapa final'!$O$11),"")</f>
        <v/>
      </c>
      <c r="X16" s="46" t="str">
        <f>IF(AND('Mapa final'!$Y$12="Alta",'Mapa final'!$AA$12="Moderado"),CONCATENATE("R1C",'Mapa final'!$O$12),"")</f>
        <v/>
      </c>
      <c r="Y16" s="46" t="str">
        <f>IF(AND('Mapa final'!$Y$13="Alta",'Mapa final'!$AA$13="Moderado"),CONCATENATE("R1C",'Mapa final'!$O$13),"")</f>
        <v/>
      </c>
      <c r="Z16" s="46" t="str">
        <f>IF(AND('Mapa final'!$Y$14="Alta",'Mapa final'!$AA$14="Moderado"),CONCATENATE("R1C",'Mapa final'!$O$14),"")</f>
        <v/>
      </c>
      <c r="AA16" s="47" t="str">
        <f>IF(AND('Mapa final'!$Y$15="Alta",'Mapa final'!$AA$15="Moderado"),CONCATENATE("R1C",'Mapa final'!$O$15),"")</f>
        <v/>
      </c>
      <c r="AB16" s="45" t="str">
        <f>IF(AND('Mapa final'!$Y$10="Alta",'Mapa final'!$AA$10="Mayor"),CONCATENATE("R1C",'Mapa final'!$O$10),"")</f>
        <v/>
      </c>
      <c r="AC16" s="46" t="str">
        <f>IF(AND('Mapa final'!$Y$11="Alta",'Mapa final'!$AA$11="Mayor"),CONCATENATE("R1C",'Mapa final'!$O$11),"")</f>
        <v/>
      </c>
      <c r="AD16" s="46" t="str">
        <f>IF(AND('Mapa final'!$Y$12="Alta",'Mapa final'!$AA$12="Mayor"),CONCATENATE("R1C",'Mapa final'!$O$12),"")</f>
        <v/>
      </c>
      <c r="AE16" s="46" t="str">
        <f>IF(AND('Mapa final'!$Y$13="Alta",'Mapa final'!$AA$13="Mayor"),CONCATENATE("R1C",'Mapa final'!$O$13),"")</f>
        <v/>
      </c>
      <c r="AF16" s="46" t="str">
        <f>IF(AND('Mapa final'!$Y$14="Alta",'Mapa final'!$AA$14="Mayor"),CONCATENATE("R1C",'Mapa final'!$O$14),"")</f>
        <v/>
      </c>
      <c r="AG16" s="47" t="str">
        <f>IF(AND('Mapa final'!$Y$15="Alta",'Mapa final'!$AA$15="Mayor"),CONCATENATE("R1C",'Mapa final'!$O$15),"")</f>
        <v/>
      </c>
      <c r="AH16" s="48" t="str">
        <f>IF(AND('Mapa final'!$Y$10="Alta",'Mapa final'!$AA$10="Catastrófico"),CONCATENATE("R1C",'Mapa final'!$O$10),"")</f>
        <v/>
      </c>
      <c r="AI16" s="49" t="str">
        <f>IF(AND('Mapa final'!$Y$11="Alta",'Mapa final'!$AA$11="Catastrófico"),CONCATENATE("R1C",'Mapa final'!$O$11),"")</f>
        <v/>
      </c>
      <c r="AJ16" s="49" t="str">
        <f>IF(AND('Mapa final'!$Y$12="Alta",'Mapa final'!$AA$12="Catastrófico"),CONCATENATE("R1C",'Mapa final'!$O$12),"")</f>
        <v/>
      </c>
      <c r="AK16" s="49" t="str">
        <f>IF(AND('Mapa final'!$Y$13="Alta",'Mapa final'!$AA$13="Catastrófico"),CONCATENATE("R1C",'Mapa final'!$O$13),"")</f>
        <v/>
      </c>
      <c r="AL16" s="49" t="str">
        <f>IF(AND('Mapa final'!$Y$14="Alta",'Mapa final'!$AA$14="Catastrófico"),CONCATENATE("R1C",'Mapa final'!$O$14),"")</f>
        <v/>
      </c>
      <c r="AM16" s="50" t="str">
        <f>IF(AND('Mapa final'!$Y$15="Alta",'Mapa final'!$AA$15="Catastrófico"),CONCATENATE("R1C",'Mapa final'!$O$15),"")</f>
        <v/>
      </c>
      <c r="AN16" s="82"/>
      <c r="AO16" s="391" t="s">
        <v>79</v>
      </c>
      <c r="AP16" s="392"/>
      <c r="AQ16" s="392"/>
      <c r="AR16" s="392"/>
      <c r="AS16" s="392"/>
      <c r="AT16" s="393"/>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343"/>
      <c r="C17" s="343"/>
      <c r="D17" s="344"/>
      <c r="E17" s="400"/>
      <c r="F17" s="385"/>
      <c r="G17" s="385"/>
      <c r="H17" s="385"/>
      <c r="I17" s="385"/>
      <c r="J17" s="66" t="str">
        <f>IF(AND('Mapa final'!$Y$16="Alta",'Mapa final'!$AA$16="Leve"),CONCATENATE("R2C",'Mapa final'!$O$16),"")</f>
        <v/>
      </c>
      <c r="K17" s="67" t="str">
        <f>IF(AND('Mapa final'!$Y$17="Alta",'Mapa final'!$AA$17="Leve"),CONCATENATE("R2C",'Mapa final'!$O$17),"")</f>
        <v/>
      </c>
      <c r="L17" s="67" t="str">
        <f>IF(AND('Mapa final'!$Y$18="Alta",'Mapa final'!$AA$18="Leve"),CONCATENATE("R2C",'Mapa final'!$O$18),"")</f>
        <v/>
      </c>
      <c r="M17" s="67" t="str">
        <f>IF(AND('Mapa final'!$Y$19="Alta",'Mapa final'!$AA$19="Leve"),CONCATENATE("R2C",'Mapa final'!$O$19),"")</f>
        <v/>
      </c>
      <c r="N17" s="67" t="str">
        <f>IF(AND('Mapa final'!$Y$20="Alta",'Mapa final'!$AA$20="Leve"),CONCATENATE("R2C",'Mapa final'!$O$20),"")</f>
        <v/>
      </c>
      <c r="O17" s="68" t="str">
        <f>IF(AND('Mapa final'!$Y$21="Alta",'Mapa final'!$AA$21="Leve"),CONCATENATE("R2C",'Mapa final'!$O$21),"")</f>
        <v/>
      </c>
      <c r="P17" s="66" t="str">
        <f>IF(AND('Mapa final'!$Y$16="Alta",'Mapa final'!$AA$16="Menor"),CONCATENATE("R2C",'Mapa final'!$O$16),"")</f>
        <v/>
      </c>
      <c r="Q17" s="67" t="str">
        <f>IF(AND('Mapa final'!$Y$17="Alta",'Mapa final'!$AA$17="Menor"),CONCATENATE("R2C",'Mapa final'!$O$17),"")</f>
        <v/>
      </c>
      <c r="R17" s="67" t="str">
        <f>IF(AND('Mapa final'!$Y$18="Alta",'Mapa final'!$AA$18="Menor"),CONCATENATE("R2C",'Mapa final'!$O$18),"")</f>
        <v/>
      </c>
      <c r="S17" s="67" t="str">
        <f>IF(AND('Mapa final'!$Y$19="Alta",'Mapa final'!$AA$19="Menor"),CONCATENATE("R2C",'Mapa final'!$O$19),"")</f>
        <v/>
      </c>
      <c r="T17" s="67" t="str">
        <f>IF(AND('Mapa final'!$Y$20="Alta",'Mapa final'!$AA$20="Menor"),CONCATENATE("R2C",'Mapa final'!$O$20),"")</f>
        <v/>
      </c>
      <c r="U17" s="68" t="str">
        <f>IF(AND('Mapa final'!$Y$21="Alta",'Mapa final'!$AA$21="Menor"),CONCATENATE("R2C",'Mapa final'!$O$21),"")</f>
        <v/>
      </c>
      <c r="V17" s="51" t="str">
        <f>IF(AND('Mapa final'!$Y$16="Alta",'Mapa final'!$AA$16="Moderado"),CONCATENATE("R2C",'Mapa final'!$O$16),"")</f>
        <v/>
      </c>
      <c r="W17" s="52" t="str">
        <f>IF(AND('Mapa final'!$Y$17="Alta",'Mapa final'!$AA$17="Moderado"),CONCATENATE("R2C",'Mapa final'!$O$17),"")</f>
        <v/>
      </c>
      <c r="X17" s="52" t="str">
        <f>IF(AND('Mapa final'!$Y$18="Alta",'Mapa final'!$AA$18="Moderado"),CONCATENATE("R2C",'Mapa final'!$O$18),"")</f>
        <v/>
      </c>
      <c r="Y17" s="52" t="str">
        <f>IF(AND('Mapa final'!$Y$19="Alta",'Mapa final'!$AA$19="Moderado"),CONCATENATE("R2C",'Mapa final'!$O$19),"")</f>
        <v/>
      </c>
      <c r="Z17" s="52" t="str">
        <f>IF(AND('Mapa final'!$Y$20="Alta",'Mapa final'!$AA$20="Moderado"),CONCATENATE("R2C",'Mapa final'!$O$20),"")</f>
        <v/>
      </c>
      <c r="AA17" s="53" t="str">
        <f>IF(AND('Mapa final'!$Y$21="Alta",'Mapa final'!$AA$21="Moderado"),CONCATENATE("R2C",'Mapa final'!$O$21),"")</f>
        <v/>
      </c>
      <c r="AB17" s="51" t="str">
        <f>IF(AND('Mapa final'!$Y$16="Alta",'Mapa final'!$AA$16="Mayor"),CONCATENATE("R2C",'Mapa final'!$O$16),"")</f>
        <v/>
      </c>
      <c r="AC17" s="52" t="str">
        <f>IF(AND('Mapa final'!$Y$17="Alta",'Mapa final'!$AA$17="Mayor"),CONCATENATE("R2C",'Mapa final'!$O$17),"")</f>
        <v/>
      </c>
      <c r="AD17" s="52" t="str">
        <f>IF(AND('Mapa final'!$Y$18="Alta",'Mapa final'!$AA$18="Mayor"),CONCATENATE("R2C",'Mapa final'!$O$18),"")</f>
        <v/>
      </c>
      <c r="AE17" s="52" t="str">
        <f>IF(AND('Mapa final'!$Y$19="Alta",'Mapa final'!$AA$19="Mayor"),CONCATENATE("R2C",'Mapa final'!$O$19),"")</f>
        <v/>
      </c>
      <c r="AF17" s="52" t="str">
        <f>IF(AND('Mapa final'!$Y$20="Alta",'Mapa final'!$AA$20="Mayor"),CONCATENATE("R2C",'Mapa final'!$O$20),"")</f>
        <v/>
      </c>
      <c r="AG17" s="53" t="str">
        <f>IF(AND('Mapa final'!$Y$21="Alta",'Mapa final'!$AA$21="Mayor"),CONCATENATE("R2C",'Mapa final'!$O$21),"")</f>
        <v/>
      </c>
      <c r="AH17" s="54" t="str">
        <f>IF(AND('Mapa final'!$Y$16="Alta",'Mapa final'!$AA$16="Catastrófico"),CONCATENATE("R2C",'Mapa final'!$O$16),"")</f>
        <v/>
      </c>
      <c r="AI17" s="55" t="str">
        <f>IF(AND('Mapa final'!$Y$17="Alta",'Mapa final'!$AA$17="Catastrófico"),CONCATENATE("R2C",'Mapa final'!$O$17),"")</f>
        <v/>
      </c>
      <c r="AJ17" s="55" t="str">
        <f>IF(AND('Mapa final'!$Y$18="Alta",'Mapa final'!$AA$18="Catastrófico"),CONCATENATE("R2C",'Mapa final'!$O$18),"")</f>
        <v/>
      </c>
      <c r="AK17" s="55" t="str">
        <f>IF(AND('Mapa final'!$Y$19="Alta",'Mapa final'!$AA$19="Catastrófico"),CONCATENATE("R2C",'Mapa final'!$O$19),"")</f>
        <v/>
      </c>
      <c r="AL17" s="55" t="str">
        <f>IF(AND('Mapa final'!$Y$20="Alta",'Mapa final'!$AA$20="Catastrófico"),CONCATENATE("R2C",'Mapa final'!$O$20),"")</f>
        <v/>
      </c>
      <c r="AM17" s="56" t="str">
        <f>IF(AND('Mapa final'!$Y$21="Alta",'Mapa final'!$AA$21="Catastrófico"),CONCATENATE("R2C",'Mapa final'!$O$21),"")</f>
        <v/>
      </c>
      <c r="AN17" s="82"/>
      <c r="AO17" s="394"/>
      <c r="AP17" s="395"/>
      <c r="AQ17" s="395"/>
      <c r="AR17" s="395"/>
      <c r="AS17" s="395"/>
      <c r="AT17" s="396"/>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343"/>
      <c r="C18" s="343"/>
      <c r="D18" s="344"/>
      <c r="E18" s="384"/>
      <c r="F18" s="385"/>
      <c r="G18" s="385"/>
      <c r="H18" s="385"/>
      <c r="I18" s="385"/>
      <c r="J18" s="66" t="str">
        <f>IF(AND('Mapa final'!$Y$22="Alta",'Mapa final'!$AA$22="Leve"),CONCATENATE("R3C",'Mapa final'!$O$22),"")</f>
        <v/>
      </c>
      <c r="K18" s="67" t="str">
        <f>IF(AND('Mapa final'!$Y$23="Alta",'Mapa final'!$AA$23="Leve"),CONCATENATE("R3C",'Mapa final'!$O$23),"")</f>
        <v/>
      </c>
      <c r="L18" s="67" t="str">
        <f>IF(AND('Mapa final'!$Y$24="Alta",'Mapa final'!$AA$24="Leve"),CONCATENATE("R3C",'Mapa final'!$O$24),"")</f>
        <v/>
      </c>
      <c r="M18" s="67" t="str">
        <f>IF(AND('Mapa final'!$Y$25="Alta",'Mapa final'!$AA$25="Leve"),CONCATENATE("R3C",'Mapa final'!$O$25),"")</f>
        <v/>
      </c>
      <c r="N18" s="67" t="str">
        <f>IF(AND('Mapa final'!$Y$26="Alta",'Mapa final'!$AA$26="Leve"),CONCATENATE("R3C",'Mapa final'!$O$26),"")</f>
        <v/>
      </c>
      <c r="O18" s="68" t="str">
        <f>IF(AND('Mapa final'!$Y$27="Alta",'Mapa final'!$AA$27="Leve"),CONCATENATE("R3C",'Mapa final'!$O$27),"")</f>
        <v/>
      </c>
      <c r="P18" s="66" t="str">
        <f>IF(AND('Mapa final'!$Y$22="Alta",'Mapa final'!$AA$22="Menor"),CONCATENATE("R3C",'Mapa final'!$O$22),"")</f>
        <v/>
      </c>
      <c r="Q18" s="67" t="str">
        <f>IF(AND('Mapa final'!$Y$23="Alta",'Mapa final'!$AA$23="Menor"),CONCATENATE("R3C",'Mapa final'!$O$23),"")</f>
        <v/>
      </c>
      <c r="R18" s="67" t="str">
        <f>IF(AND('Mapa final'!$Y$24="Alta",'Mapa final'!$AA$24="Menor"),CONCATENATE("R3C",'Mapa final'!$O$24),"")</f>
        <v/>
      </c>
      <c r="S18" s="67" t="str">
        <f>IF(AND('Mapa final'!$Y$25="Alta",'Mapa final'!$AA$25="Menor"),CONCATENATE("R3C",'Mapa final'!$O$25),"")</f>
        <v/>
      </c>
      <c r="T18" s="67" t="str">
        <f>IF(AND('Mapa final'!$Y$26="Alta",'Mapa final'!$AA$26="Menor"),CONCATENATE("R3C",'Mapa final'!$O$26),"")</f>
        <v/>
      </c>
      <c r="U18" s="68" t="str">
        <f>IF(AND('Mapa final'!$Y$27="Alta",'Mapa final'!$AA$27="Menor"),CONCATENATE("R3C",'Mapa final'!$O$27),"")</f>
        <v/>
      </c>
      <c r="V18" s="51" t="str">
        <f>IF(AND('Mapa final'!$Y$22="Alta",'Mapa final'!$AA$22="Moderado"),CONCATENATE("R3C",'Mapa final'!$O$22),"")</f>
        <v/>
      </c>
      <c r="W18" s="52" t="str">
        <f>IF(AND('Mapa final'!$Y$23="Alta",'Mapa final'!$AA$23="Moderado"),CONCATENATE("R3C",'Mapa final'!$O$23),"")</f>
        <v/>
      </c>
      <c r="X18" s="52" t="str">
        <f>IF(AND('Mapa final'!$Y$24="Alta",'Mapa final'!$AA$24="Moderado"),CONCATENATE("R3C",'Mapa final'!$O$24),"")</f>
        <v/>
      </c>
      <c r="Y18" s="52" t="str">
        <f>IF(AND('Mapa final'!$Y$25="Alta",'Mapa final'!$AA$25="Moderado"),CONCATENATE("R3C",'Mapa final'!$O$25),"")</f>
        <v/>
      </c>
      <c r="Z18" s="52" t="str">
        <f>IF(AND('Mapa final'!$Y$26="Alta",'Mapa final'!$AA$26="Moderado"),CONCATENATE("R3C",'Mapa final'!$O$26),"")</f>
        <v/>
      </c>
      <c r="AA18" s="53" t="str">
        <f>IF(AND('Mapa final'!$Y$27="Alta",'Mapa final'!$AA$27="Moderado"),CONCATENATE("R3C",'Mapa final'!$O$27),"")</f>
        <v/>
      </c>
      <c r="AB18" s="51" t="str">
        <f>IF(AND('Mapa final'!$Y$22="Alta",'Mapa final'!$AA$22="Mayor"),CONCATENATE("R3C",'Mapa final'!$O$22),"")</f>
        <v/>
      </c>
      <c r="AC18" s="52" t="str">
        <f>IF(AND('Mapa final'!$Y$23="Alta",'Mapa final'!$AA$23="Mayor"),CONCATENATE("R3C",'Mapa final'!$O$23),"")</f>
        <v/>
      </c>
      <c r="AD18" s="52" t="str">
        <f>IF(AND('Mapa final'!$Y$24="Alta",'Mapa final'!$AA$24="Mayor"),CONCATENATE("R3C",'Mapa final'!$O$24),"")</f>
        <v/>
      </c>
      <c r="AE18" s="52" t="str">
        <f>IF(AND('Mapa final'!$Y$25="Alta",'Mapa final'!$AA$25="Mayor"),CONCATENATE("R3C",'Mapa final'!$O$25),"")</f>
        <v/>
      </c>
      <c r="AF18" s="52" t="str">
        <f>IF(AND('Mapa final'!$Y$26="Alta",'Mapa final'!$AA$26="Mayor"),CONCATENATE("R3C",'Mapa final'!$O$26),"")</f>
        <v/>
      </c>
      <c r="AG18" s="53" t="str">
        <f>IF(AND('Mapa final'!$Y$27="Alta",'Mapa final'!$AA$27="Mayor"),CONCATENATE("R3C",'Mapa final'!$O$27),"")</f>
        <v/>
      </c>
      <c r="AH18" s="54" t="str">
        <f>IF(AND('Mapa final'!$Y$22="Alta",'Mapa final'!$AA$22="Catastrófico"),CONCATENATE("R3C",'Mapa final'!$O$22),"")</f>
        <v/>
      </c>
      <c r="AI18" s="55" t="str">
        <f>IF(AND('Mapa final'!$Y$23="Alta",'Mapa final'!$AA$23="Catastrófico"),CONCATENATE("R3C",'Mapa final'!$O$23),"")</f>
        <v/>
      </c>
      <c r="AJ18" s="55" t="str">
        <f>IF(AND('Mapa final'!$Y$24="Alta",'Mapa final'!$AA$24="Catastrófico"),CONCATENATE("R3C",'Mapa final'!$O$24),"")</f>
        <v/>
      </c>
      <c r="AK18" s="55" t="str">
        <f>IF(AND('Mapa final'!$Y$25="Alta",'Mapa final'!$AA$25="Catastrófico"),CONCATENATE("R3C",'Mapa final'!$O$25),"")</f>
        <v/>
      </c>
      <c r="AL18" s="55" t="str">
        <f>IF(AND('Mapa final'!$Y$26="Alta",'Mapa final'!$AA$26="Catastrófico"),CONCATENATE("R3C",'Mapa final'!$O$26),"")</f>
        <v/>
      </c>
      <c r="AM18" s="56" t="str">
        <f>IF(AND('Mapa final'!$Y$27="Alta",'Mapa final'!$AA$27="Catastrófico"),CONCATENATE("R3C",'Mapa final'!$O$27),"")</f>
        <v/>
      </c>
      <c r="AN18" s="82"/>
      <c r="AO18" s="394"/>
      <c r="AP18" s="395"/>
      <c r="AQ18" s="395"/>
      <c r="AR18" s="395"/>
      <c r="AS18" s="395"/>
      <c r="AT18" s="396"/>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343"/>
      <c r="C19" s="343"/>
      <c r="D19" s="344"/>
      <c r="E19" s="384"/>
      <c r="F19" s="385"/>
      <c r="G19" s="385"/>
      <c r="H19" s="385"/>
      <c r="I19" s="385"/>
      <c r="J19" s="66" t="str">
        <f>IF(AND('Mapa final'!$Y$28="Alta",'Mapa final'!$AA$28="Leve"),CONCATENATE("R4C",'Mapa final'!$O$28),"")</f>
        <v/>
      </c>
      <c r="K19" s="67" t="str">
        <f>IF(AND('Mapa final'!$Y$29="Alta",'Mapa final'!$AA$29="Leve"),CONCATENATE("R4C",'Mapa final'!$O$29),"")</f>
        <v/>
      </c>
      <c r="L19" s="67" t="str">
        <f>IF(AND('Mapa final'!$Y$30="Alta",'Mapa final'!$AA$30="Leve"),CONCATENATE("R4C",'Mapa final'!$O$30),"")</f>
        <v/>
      </c>
      <c r="M19" s="67" t="str">
        <f>IF(AND('Mapa final'!$Y$31="Alta",'Mapa final'!$AA$31="Leve"),CONCATENATE("R4C",'Mapa final'!$O$31),"")</f>
        <v/>
      </c>
      <c r="N19" s="67" t="str">
        <f>IF(AND('Mapa final'!$Y$32="Alta",'Mapa final'!$AA$32="Leve"),CONCATENATE("R4C",'Mapa final'!$O$32),"")</f>
        <v/>
      </c>
      <c r="O19" s="68" t="str">
        <f>IF(AND('Mapa final'!$Y$33="Alta",'Mapa final'!$AA$33="Leve"),CONCATENATE("R4C",'Mapa final'!$O$33),"")</f>
        <v/>
      </c>
      <c r="P19" s="66" t="str">
        <f>IF(AND('Mapa final'!$Y$28="Alta",'Mapa final'!$AA$28="Menor"),CONCATENATE("R4C",'Mapa final'!$O$28),"")</f>
        <v/>
      </c>
      <c r="Q19" s="67" t="str">
        <f>IF(AND('Mapa final'!$Y$29="Alta",'Mapa final'!$AA$29="Menor"),CONCATENATE("R4C",'Mapa final'!$O$29),"")</f>
        <v/>
      </c>
      <c r="R19" s="67" t="str">
        <f>IF(AND('Mapa final'!$Y$30="Alta",'Mapa final'!$AA$30="Menor"),CONCATENATE("R4C",'Mapa final'!$O$30),"")</f>
        <v/>
      </c>
      <c r="S19" s="67" t="str">
        <f>IF(AND('Mapa final'!$Y$31="Alta",'Mapa final'!$AA$31="Menor"),CONCATENATE("R4C",'Mapa final'!$O$31),"")</f>
        <v/>
      </c>
      <c r="T19" s="67" t="str">
        <f>IF(AND('Mapa final'!$Y$32="Alta",'Mapa final'!$AA$32="Menor"),CONCATENATE("R4C",'Mapa final'!$O$32),"")</f>
        <v/>
      </c>
      <c r="U19" s="68" t="str">
        <f>IF(AND('Mapa final'!$Y$33="Alta",'Mapa final'!$AA$33="Menor"),CONCATENATE("R4C",'Mapa final'!$O$33),"")</f>
        <v/>
      </c>
      <c r="V19" s="51" t="str">
        <f>IF(AND('Mapa final'!$Y$28="Alta",'Mapa final'!$AA$28="Moderado"),CONCATENATE("R4C",'Mapa final'!$O$28),"")</f>
        <v/>
      </c>
      <c r="W19" s="52" t="str">
        <f>IF(AND('Mapa final'!$Y$29="Alta",'Mapa final'!$AA$29="Moderado"),CONCATENATE("R4C",'Mapa final'!$O$29),"")</f>
        <v/>
      </c>
      <c r="X19" s="52" t="str">
        <f>IF(AND('Mapa final'!$Y$30="Alta",'Mapa final'!$AA$30="Moderado"),CONCATENATE("R4C",'Mapa final'!$O$30),"")</f>
        <v/>
      </c>
      <c r="Y19" s="52" t="str">
        <f>IF(AND('Mapa final'!$Y$31="Alta",'Mapa final'!$AA$31="Moderado"),CONCATENATE("R4C",'Mapa final'!$O$31),"")</f>
        <v/>
      </c>
      <c r="Z19" s="52" t="str">
        <f>IF(AND('Mapa final'!$Y$32="Alta",'Mapa final'!$AA$32="Moderado"),CONCATENATE("R4C",'Mapa final'!$O$32),"")</f>
        <v/>
      </c>
      <c r="AA19" s="53" t="str">
        <f>IF(AND('Mapa final'!$Y$33="Alta",'Mapa final'!$AA$33="Moderado"),CONCATENATE("R4C",'Mapa final'!$O$33),"")</f>
        <v/>
      </c>
      <c r="AB19" s="51" t="str">
        <f>IF(AND('Mapa final'!$Y$28="Alta",'Mapa final'!$AA$28="Mayor"),CONCATENATE("R4C",'Mapa final'!$O$28),"")</f>
        <v/>
      </c>
      <c r="AC19" s="52" t="str">
        <f>IF(AND('Mapa final'!$Y$29="Alta",'Mapa final'!$AA$29="Mayor"),CONCATENATE("R4C",'Mapa final'!$O$29),"")</f>
        <v/>
      </c>
      <c r="AD19" s="52" t="str">
        <f>IF(AND('Mapa final'!$Y$30="Alta",'Mapa final'!$AA$30="Mayor"),CONCATENATE("R4C",'Mapa final'!$O$30),"")</f>
        <v/>
      </c>
      <c r="AE19" s="52" t="str">
        <f>IF(AND('Mapa final'!$Y$31="Alta",'Mapa final'!$AA$31="Mayor"),CONCATENATE("R4C",'Mapa final'!$O$31),"")</f>
        <v/>
      </c>
      <c r="AF19" s="52" t="str">
        <f>IF(AND('Mapa final'!$Y$32="Alta",'Mapa final'!$AA$32="Mayor"),CONCATENATE("R4C",'Mapa final'!$O$32),"")</f>
        <v/>
      </c>
      <c r="AG19" s="53" t="str">
        <f>IF(AND('Mapa final'!$Y$33="Alta",'Mapa final'!$AA$33="Mayor"),CONCATENATE("R4C",'Mapa final'!$O$33),"")</f>
        <v/>
      </c>
      <c r="AH19" s="54" t="str">
        <f>IF(AND('Mapa final'!$Y$28="Alta",'Mapa final'!$AA$28="Catastrófico"),CONCATENATE("R4C",'Mapa final'!$O$28),"")</f>
        <v/>
      </c>
      <c r="AI19" s="55" t="str">
        <f>IF(AND('Mapa final'!$Y$29="Alta",'Mapa final'!$AA$29="Catastrófico"),CONCATENATE("R4C",'Mapa final'!$O$29),"")</f>
        <v/>
      </c>
      <c r="AJ19" s="55" t="str">
        <f>IF(AND('Mapa final'!$Y$30="Alta",'Mapa final'!$AA$30="Catastrófico"),CONCATENATE("R4C",'Mapa final'!$O$30),"")</f>
        <v/>
      </c>
      <c r="AK19" s="55" t="str">
        <f>IF(AND('Mapa final'!$Y$31="Alta",'Mapa final'!$AA$31="Catastrófico"),CONCATENATE("R4C",'Mapa final'!$O$31),"")</f>
        <v/>
      </c>
      <c r="AL19" s="55" t="str">
        <f>IF(AND('Mapa final'!$Y$32="Alta",'Mapa final'!$AA$32="Catastrófico"),CONCATENATE("R4C",'Mapa final'!$O$32),"")</f>
        <v/>
      </c>
      <c r="AM19" s="56" t="str">
        <f>IF(AND('Mapa final'!$Y$33="Alta",'Mapa final'!$AA$33="Catastrófico"),CONCATENATE("R4C",'Mapa final'!$O$33),"")</f>
        <v/>
      </c>
      <c r="AN19" s="82"/>
      <c r="AO19" s="394"/>
      <c r="AP19" s="395"/>
      <c r="AQ19" s="395"/>
      <c r="AR19" s="395"/>
      <c r="AS19" s="395"/>
      <c r="AT19" s="396"/>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343"/>
      <c r="C20" s="343"/>
      <c r="D20" s="344"/>
      <c r="E20" s="384"/>
      <c r="F20" s="385"/>
      <c r="G20" s="385"/>
      <c r="H20" s="385"/>
      <c r="I20" s="385"/>
      <c r="J20" s="66" t="str">
        <f>IF(AND('Mapa final'!$Y$34="Alta",'Mapa final'!$AA$34="Leve"),CONCATENATE("R5C",'Mapa final'!$O$34),"")</f>
        <v/>
      </c>
      <c r="K20" s="67" t="str">
        <f>IF(AND('Mapa final'!$Y$35="Alta",'Mapa final'!$AA$35="Leve"),CONCATENATE("R5C",'Mapa final'!$O$35),"")</f>
        <v/>
      </c>
      <c r="L20" s="67" t="str">
        <f>IF(AND('Mapa final'!$Y$36="Alta",'Mapa final'!$AA$36="Leve"),CONCATENATE("R5C",'Mapa final'!$O$36),"")</f>
        <v/>
      </c>
      <c r="M20" s="67" t="str">
        <f>IF(AND('Mapa final'!$Y$37="Alta",'Mapa final'!$AA$37="Leve"),CONCATENATE("R5C",'Mapa final'!$O$37),"")</f>
        <v/>
      </c>
      <c r="N20" s="67" t="str">
        <f>IF(AND('Mapa final'!$Y$38="Alta",'Mapa final'!$AA$38="Leve"),CONCATENATE("R5C",'Mapa final'!$O$38),"")</f>
        <v/>
      </c>
      <c r="O20" s="68" t="str">
        <f>IF(AND('Mapa final'!$Y$39="Alta",'Mapa final'!$AA$39="Leve"),CONCATENATE("R5C",'Mapa final'!$O$39),"")</f>
        <v/>
      </c>
      <c r="P20" s="66" t="str">
        <f>IF(AND('Mapa final'!$Y$34="Alta",'Mapa final'!$AA$34="Menor"),CONCATENATE("R5C",'Mapa final'!$O$34),"")</f>
        <v/>
      </c>
      <c r="Q20" s="67" t="str">
        <f>IF(AND('Mapa final'!$Y$35="Alta",'Mapa final'!$AA$35="Menor"),CONCATENATE("R5C",'Mapa final'!$O$35),"")</f>
        <v/>
      </c>
      <c r="R20" s="67" t="str">
        <f>IF(AND('Mapa final'!$Y$36="Alta",'Mapa final'!$AA$36="Menor"),CONCATENATE("R5C",'Mapa final'!$O$36),"")</f>
        <v/>
      </c>
      <c r="S20" s="67" t="str">
        <f>IF(AND('Mapa final'!$Y$37="Alta",'Mapa final'!$AA$37="Menor"),CONCATENATE("R5C",'Mapa final'!$O$37),"")</f>
        <v/>
      </c>
      <c r="T20" s="67" t="str">
        <f>IF(AND('Mapa final'!$Y$38="Alta",'Mapa final'!$AA$38="Menor"),CONCATENATE("R5C",'Mapa final'!$O$38),"")</f>
        <v/>
      </c>
      <c r="U20" s="68" t="str">
        <f>IF(AND('Mapa final'!$Y$39="Alta",'Mapa final'!$AA$39="Menor"),CONCATENATE("R5C",'Mapa final'!$O$39),"")</f>
        <v/>
      </c>
      <c r="V20" s="51" t="str">
        <f>IF(AND('Mapa final'!$Y$34="Alta",'Mapa final'!$AA$34="Moderado"),CONCATENATE("R5C",'Mapa final'!$O$34),"")</f>
        <v/>
      </c>
      <c r="W20" s="52" t="str">
        <f>IF(AND('Mapa final'!$Y$35="Alta",'Mapa final'!$AA$35="Moderado"),CONCATENATE("R5C",'Mapa final'!$O$35),"")</f>
        <v/>
      </c>
      <c r="X20" s="52" t="str">
        <f>IF(AND('Mapa final'!$Y$36="Alta",'Mapa final'!$AA$36="Moderado"),CONCATENATE("R5C",'Mapa final'!$O$36),"")</f>
        <v/>
      </c>
      <c r="Y20" s="52" t="str">
        <f>IF(AND('Mapa final'!$Y$37="Alta",'Mapa final'!$AA$37="Moderado"),CONCATENATE("R5C",'Mapa final'!$O$37),"")</f>
        <v/>
      </c>
      <c r="Z20" s="52" t="str">
        <f>IF(AND('Mapa final'!$Y$38="Alta",'Mapa final'!$AA$38="Moderado"),CONCATENATE("R5C",'Mapa final'!$O$38),"")</f>
        <v/>
      </c>
      <c r="AA20" s="53" t="str">
        <f>IF(AND('Mapa final'!$Y$39="Alta",'Mapa final'!$AA$39="Moderado"),CONCATENATE("R5C",'Mapa final'!$O$39),"")</f>
        <v/>
      </c>
      <c r="AB20" s="51" t="str">
        <f>IF(AND('Mapa final'!$Y$34="Alta",'Mapa final'!$AA$34="Mayor"),CONCATENATE("R5C",'Mapa final'!$O$34),"")</f>
        <v/>
      </c>
      <c r="AC20" s="52" t="str">
        <f>IF(AND('Mapa final'!$Y$35="Alta",'Mapa final'!$AA$35="Mayor"),CONCATENATE("R5C",'Mapa final'!$O$35),"")</f>
        <v/>
      </c>
      <c r="AD20" s="52" t="str">
        <f>IF(AND('Mapa final'!$Y$36="Alta",'Mapa final'!$AA$36="Mayor"),CONCATENATE("R5C",'Mapa final'!$O$36),"")</f>
        <v/>
      </c>
      <c r="AE20" s="52" t="str">
        <f>IF(AND('Mapa final'!$Y$37="Alta",'Mapa final'!$AA$37="Mayor"),CONCATENATE("R5C",'Mapa final'!$O$37),"")</f>
        <v/>
      </c>
      <c r="AF20" s="52" t="str">
        <f>IF(AND('Mapa final'!$Y$38="Alta",'Mapa final'!$AA$38="Mayor"),CONCATENATE("R5C",'Mapa final'!$O$38),"")</f>
        <v/>
      </c>
      <c r="AG20" s="53" t="str">
        <f>IF(AND('Mapa final'!$Y$39="Alta",'Mapa final'!$AA$39="Mayor"),CONCATENATE("R5C",'Mapa final'!$O$39),"")</f>
        <v/>
      </c>
      <c r="AH20" s="54" t="str">
        <f>IF(AND('Mapa final'!$Y$34="Alta",'Mapa final'!$AA$34="Catastrófico"),CONCATENATE("R5C",'Mapa final'!$O$34),"")</f>
        <v/>
      </c>
      <c r="AI20" s="55" t="str">
        <f>IF(AND('Mapa final'!$Y$35="Alta",'Mapa final'!$AA$35="Catastrófico"),CONCATENATE("R5C",'Mapa final'!$O$35),"")</f>
        <v/>
      </c>
      <c r="AJ20" s="55" t="str">
        <f>IF(AND('Mapa final'!$Y$36="Alta",'Mapa final'!$AA$36="Catastrófico"),CONCATENATE("R5C",'Mapa final'!$O$36),"")</f>
        <v/>
      </c>
      <c r="AK20" s="55" t="str">
        <f>IF(AND('Mapa final'!$Y$37="Alta",'Mapa final'!$AA$37="Catastrófico"),CONCATENATE("R5C",'Mapa final'!$O$37),"")</f>
        <v/>
      </c>
      <c r="AL20" s="55" t="str">
        <f>IF(AND('Mapa final'!$Y$38="Alta",'Mapa final'!$AA$38="Catastrófico"),CONCATENATE("R5C",'Mapa final'!$O$38),"")</f>
        <v/>
      </c>
      <c r="AM20" s="56" t="str">
        <f>IF(AND('Mapa final'!$Y$39="Alta",'Mapa final'!$AA$39="Catastrófico"),CONCATENATE("R5C",'Mapa final'!$O$39),"")</f>
        <v/>
      </c>
      <c r="AN20" s="82"/>
      <c r="AO20" s="394"/>
      <c r="AP20" s="395"/>
      <c r="AQ20" s="395"/>
      <c r="AR20" s="395"/>
      <c r="AS20" s="395"/>
      <c r="AT20" s="396"/>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343"/>
      <c r="C21" s="343"/>
      <c r="D21" s="344"/>
      <c r="E21" s="384"/>
      <c r="F21" s="385"/>
      <c r="G21" s="385"/>
      <c r="H21" s="385"/>
      <c r="I21" s="385"/>
      <c r="J21" s="66" t="str">
        <f>IF(AND('Mapa final'!$Y$40="Alta",'Mapa final'!$AA$40="Leve"),CONCATENATE("R6C",'Mapa final'!$O$40),"")</f>
        <v/>
      </c>
      <c r="K21" s="67" t="str">
        <f>IF(AND('Mapa final'!$Y$41="Alta",'Mapa final'!$AA$41="Leve"),CONCATENATE("R6C",'Mapa final'!$O$41),"")</f>
        <v/>
      </c>
      <c r="L21" s="67" t="str">
        <f>IF(AND('Mapa final'!$Y$42="Alta",'Mapa final'!$AA$42="Leve"),CONCATENATE("R6C",'Mapa final'!$O$42),"")</f>
        <v/>
      </c>
      <c r="M21" s="67" t="str">
        <f>IF(AND('Mapa final'!$Y$43="Alta",'Mapa final'!$AA$43="Leve"),CONCATENATE("R6C",'Mapa final'!$O$43),"")</f>
        <v/>
      </c>
      <c r="N21" s="67" t="str">
        <f>IF(AND('Mapa final'!$Y$44="Alta",'Mapa final'!$AA$44="Leve"),CONCATENATE("R6C",'Mapa final'!$O$44),"")</f>
        <v/>
      </c>
      <c r="O21" s="68" t="str">
        <f>IF(AND('Mapa final'!$Y$45="Alta",'Mapa final'!$AA$45="Leve"),CONCATENATE("R6C",'Mapa final'!$O$45),"")</f>
        <v/>
      </c>
      <c r="P21" s="66" t="str">
        <f>IF(AND('Mapa final'!$Y$40="Alta",'Mapa final'!$AA$40="Menor"),CONCATENATE("R6C",'Mapa final'!$O$40),"")</f>
        <v/>
      </c>
      <c r="Q21" s="67" t="str">
        <f>IF(AND('Mapa final'!$Y$41="Alta",'Mapa final'!$AA$41="Menor"),CONCATENATE("R6C",'Mapa final'!$O$41),"")</f>
        <v/>
      </c>
      <c r="R21" s="67" t="str">
        <f>IF(AND('Mapa final'!$Y$42="Alta",'Mapa final'!$AA$42="Menor"),CONCATENATE("R6C",'Mapa final'!$O$42),"")</f>
        <v/>
      </c>
      <c r="S21" s="67" t="str">
        <f>IF(AND('Mapa final'!$Y$43="Alta",'Mapa final'!$AA$43="Menor"),CONCATENATE("R6C",'Mapa final'!$O$43),"")</f>
        <v/>
      </c>
      <c r="T21" s="67" t="str">
        <f>IF(AND('Mapa final'!$Y$44="Alta",'Mapa final'!$AA$44="Menor"),CONCATENATE("R6C",'Mapa final'!$O$44),"")</f>
        <v/>
      </c>
      <c r="U21" s="68" t="str">
        <f>IF(AND('Mapa final'!$Y$45="Alta",'Mapa final'!$AA$45="Menor"),CONCATENATE("R6C",'Mapa final'!$O$45),"")</f>
        <v/>
      </c>
      <c r="V21" s="51" t="str">
        <f>IF(AND('Mapa final'!$Y$40="Alta",'Mapa final'!$AA$40="Moderado"),CONCATENATE("R6C",'Mapa final'!$O$40),"")</f>
        <v/>
      </c>
      <c r="W21" s="52" t="str">
        <f>IF(AND('Mapa final'!$Y$41="Alta",'Mapa final'!$AA$41="Moderado"),CONCATENATE("R6C",'Mapa final'!$O$41),"")</f>
        <v/>
      </c>
      <c r="X21" s="52" t="str">
        <f>IF(AND('Mapa final'!$Y$42="Alta",'Mapa final'!$AA$42="Moderado"),CONCATENATE("R6C",'Mapa final'!$O$42),"")</f>
        <v/>
      </c>
      <c r="Y21" s="52" t="str">
        <f>IF(AND('Mapa final'!$Y$43="Alta",'Mapa final'!$AA$43="Moderado"),CONCATENATE("R6C",'Mapa final'!$O$43),"")</f>
        <v/>
      </c>
      <c r="Z21" s="52" t="str">
        <f>IF(AND('Mapa final'!$Y$44="Alta",'Mapa final'!$AA$44="Moderado"),CONCATENATE("R6C",'Mapa final'!$O$44),"")</f>
        <v/>
      </c>
      <c r="AA21" s="53" t="str">
        <f>IF(AND('Mapa final'!$Y$45="Alta",'Mapa final'!$AA$45="Moderado"),CONCATENATE("R6C",'Mapa final'!$O$45),"")</f>
        <v/>
      </c>
      <c r="AB21" s="51" t="str">
        <f>IF(AND('Mapa final'!$Y$40="Alta",'Mapa final'!$AA$40="Mayor"),CONCATENATE("R6C",'Mapa final'!$O$40),"")</f>
        <v/>
      </c>
      <c r="AC21" s="52" t="str">
        <f>IF(AND('Mapa final'!$Y$41="Alta",'Mapa final'!$AA$41="Mayor"),CONCATENATE("R6C",'Mapa final'!$O$41),"")</f>
        <v/>
      </c>
      <c r="AD21" s="52" t="str">
        <f>IF(AND('Mapa final'!$Y$42="Alta",'Mapa final'!$AA$42="Mayor"),CONCATENATE("R6C",'Mapa final'!$O$42),"")</f>
        <v/>
      </c>
      <c r="AE21" s="52" t="str">
        <f>IF(AND('Mapa final'!$Y$43="Alta",'Mapa final'!$AA$43="Mayor"),CONCATENATE("R6C",'Mapa final'!$O$43),"")</f>
        <v/>
      </c>
      <c r="AF21" s="52" t="str">
        <f>IF(AND('Mapa final'!$Y$44="Alta",'Mapa final'!$AA$44="Mayor"),CONCATENATE("R6C",'Mapa final'!$O$44),"")</f>
        <v/>
      </c>
      <c r="AG21" s="53" t="str">
        <f>IF(AND('Mapa final'!$Y$45="Alta",'Mapa final'!$AA$45="Mayor"),CONCATENATE("R6C",'Mapa final'!$O$45),"")</f>
        <v/>
      </c>
      <c r="AH21" s="54" t="str">
        <f>IF(AND('Mapa final'!$Y$40="Alta",'Mapa final'!$AA$40="Catastrófico"),CONCATENATE("R6C",'Mapa final'!$O$40),"")</f>
        <v/>
      </c>
      <c r="AI21" s="55" t="str">
        <f>IF(AND('Mapa final'!$Y$41="Alta",'Mapa final'!$AA$41="Catastrófico"),CONCATENATE("R6C",'Mapa final'!$O$41),"")</f>
        <v/>
      </c>
      <c r="AJ21" s="55" t="str">
        <f>IF(AND('Mapa final'!$Y$42="Alta",'Mapa final'!$AA$42="Catastrófico"),CONCATENATE("R6C",'Mapa final'!$O$42),"")</f>
        <v/>
      </c>
      <c r="AK21" s="55" t="str">
        <f>IF(AND('Mapa final'!$Y$43="Alta",'Mapa final'!$AA$43="Catastrófico"),CONCATENATE("R6C",'Mapa final'!$O$43),"")</f>
        <v/>
      </c>
      <c r="AL21" s="55" t="str">
        <f>IF(AND('Mapa final'!$Y$44="Alta",'Mapa final'!$AA$44="Catastrófico"),CONCATENATE("R6C",'Mapa final'!$O$44),"")</f>
        <v/>
      </c>
      <c r="AM21" s="56" t="str">
        <f>IF(AND('Mapa final'!$Y$45="Alta",'Mapa final'!$AA$45="Catastrófico"),CONCATENATE("R6C",'Mapa final'!$O$45),"")</f>
        <v/>
      </c>
      <c r="AN21" s="82"/>
      <c r="AO21" s="394"/>
      <c r="AP21" s="395"/>
      <c r="AQ21" s="395"/>
      <c r="AR21" s="395"/>
      <c r="AS21" s="395"/>
      <c r="AT21" s="396"/>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343"/>
      <c r="C22" s="343"/>
      <c r="D22" s="344"/>
      <c r="E22" s="384"/>
      <c r="F22" s="385"/>
      <c r="G22" s="385"/>
      <c r="H22" s="385"/>
      <c r="I22" s="385"/>
      <c r="J22" s="66" t="str">
        <f>IF(AND('Mapa final'!$Y$46="Alta",'Mapa final'!$AA$46="Leve"),CONCATENATE("R7C",'Mapa final'!$O$46),"")</f>
        <v/>
      </c>
      <c r="K22" s="67" t="str">
        <f>IF(AND('Mapa final'!$Y$47="Alta",'Mapa final'!$AA$47="Leve"),CONCATENATE("R7C",'Mapa final'!$O$47),"")</f>
        <v/>
      </c>
      <c r="L22" s="67" t="str">
        <f>IF(AND('Mapa final'!$Y$48="Alta",'Mapa final'!$AA$48="Leve"),CONCATENATE("R7C",'Mapa final'!$O$48),"")</f>
        <v/>
      </c>
      <c r="M22" s="67" t="str">
        <f>IF(AND('Mapa final'!$Y$49="Alta",'Mapa final'!$AA$49="Leve"),CONCATENATE("R7C",'Mapa final'!$O$49),"")</f>
        <v/>
      </c>
      <c r="N22" s="67" t="str">
        <f>IF(AND('Mapa final'!$Y$50="Alta",'Mapa final'!$AA$50="Leve"),CONCATENATE("R7C",'Mapa final'!$O$50),"")</f>
        <v/>
      </c>
      <c r="O22" s="68" t="str">
        <f>IF(AND('Mapa final'!$Y$51="Alta",'Mapa final'!$AA$51="Leve"),CONCATENATE("R7C",'Mapa final'!$O$51),"")</f>
        <v/>
      </c>
      <c r="P22" s="66" t="str">
        <f>IF(AND('Mapa final'!$Y$46="Alta",'Mapa final'!$AA$46="Menor"),CONCATENATE("R7C",'Mapa final'!$O$46),"")</f>
        <v/>
      </c>
      <c r="Q22" s="67" t="str">
        <f>IF(AND('Mapa final'!$Y$47="Alta",'Mapa final'!$AA$47="Menor"),CONCATENATE("R7C",'Mapa final'!$O$47),"")</f>
        <v/>
      </c>
      <c r="R22" s="67" t="str">
        <f>IF(AND('Mapa final'!$Y$48="Alta",'Mapa final'!$AA$48="Menor"),CONCATENATE("R7C",'Mapa final'!$O$48),"")</f>
        <v/>
      </c>
      <c r="S22" s="67" t="str">
        <f>IF(AND('Mapa final'!$Y$49="Alta",'Mapa final'!$AA$49="Menor"),CONCATENATE("R7C",'Mapa final'!$O$49),"")</f>
        <v/>
      </c>
      <c r="T22" s="67" t="str">
        <f>IF(AND('Mapa final'!$Y$50="Alta",'Mapa final'!$AA$50="Menor"),CONCATENATE("R7C",'Mapa final'!$O$50),"")</f>
        <v/>
      </c>
      <c r="U22" s="68" t="str">
        <f>IF(AND('Mapa final'!$Y$51="Alta",'Mapa final'!$AA$51="Menor"),CONCATENATE("R7C",'Mapa final'!$O$51),"")</f>
        <v/>
      </c>
      <c r="V22" s="51" t="str">
        <f>IF(AND('Mapa final'!$Y$46="Alta",'Mapa final'!$AA$46="Moderado"),CONCATENATE("R7C",'Mapa final'!$O$46),"")</f>
        <v/>
      </c>
      <c r="W22" s="52" t="str">
        <f>IF(AND('Mapa final'!$Y$47="Alta",'Mapa final'!$AA$47="Moderado"),CONCATENATE("R7C",'Mapa final'!$O$47),"")</f>
        <v/>
      </c>
      <c r="X22" s="52" t="str">
        <f>IF(AND('Mapa final'!$Y$48="Alta",'Mapa final'!$AA$48="Moderado"),CONCATENATE("R7C",'Mapa final'!$O$48),"")</f>
        <v/>
      </c>
      <c r="Y22" s="52" t="str">
        <f>IF(AND('Mapa final'!$Y$49="Alta",'Mapa final'!$AA$49="Moderado"),CONCATENATE("R7C",'Mapa final'!$O$49),"")</f>
        <v/>
      </c>
      <c r="Z22" s="52" t="str">
        <f>IF(AND('Mapa final'!$Y$50="Alta",'Mapa final'!$AA$50="Moderado"),CONCATENATE("R7C",'Mapa final'!$O$50),"")</f>
        <v/>
      </c>
      <c r="AA22" s="53" t="str">
        <f>IF(AND('Mapa final'!$Y$51="Alta",'Mapa final'!$AA$51="Moderado"),CONCATENATE("R7C",'Mapa final'!$O$51),"")</f>
        <v/>
      </c>
      <c r="AB22" s="51" t="str">
        <f>IF(AND('Mapa final'!$Y$46="Alta",'Mapa final'!$AA$46="Mayor"),CONCATENATE("R7C",'Mapa final'!$O$46),"")</f>
        <v/>
      </c>
      <c r="AC22" s="52" t="str">
        <f>IF(AND('Mapa final'!$Y$47="Alta",'Mapa final'!$AA$47="Mayor"),CONCATENATE("R7C",'Mapa final'!$O$47),"")</f>
        <v/>
      </c>
      <c r="AD22" s="52" t="str">
        <f>IF(AND('Mapa final'!$Y$48="Alta",'Mapa final'!$AA$48="Mayor"),CONCATENATE("R7C",'Mapa final'!$O$48),"")</f>
        <v/>
      </c>
      <c r="AE22" s="52" t="str">
        <f>IF(AND('Mapa final'!$Y$49="Alta",'Mapa final'!$AA$49="Mayor"),CONCATENATE("R7C",'Mapa final'!$O$49),"")</f>
        <v/>
      </c>
      <c r="AF22" s="52" t="str">
        <f>IF(AND('Mapa final'!$Y$50="Alta",'Mapa final'!$AA$50="Mayor"),CONCATENATE("R7C",'Mapa final'!$O$50),"")</f>
        <v/>
      </c>
      <c r="AG22" s="53" t="str">
        <f>IF(AND('Mapa final'!$Y$51="Alta",'Mapa final'!$AA$51="Mayor"),CONCATENATE("R7C",'Mapa final'!$O$51),"")</f>
        <v/>
      </c>
      <c r="AH22" s="54" t="str">
        <f>IF(AND('Mapa final'!$Y$46="Alta",'Mapa final'!$AA$46="Catastrófico"),CONCATENATE("R7C",'Mapa final'!$O$46),"")</f>
        <v/>
      </c>
      <c r="AI22" s="55" t="str">
        <f>IF(AND('Mapa final'!$Y$47="Alta",'Mapa final'!$AA$47="Catastrófico"),CONCATENATE("R7C",'Mapa final'!$O$47),"")</f>
        <v/>
      </c>
      <c r="AJ22" s="55" t="str">
        <f>IF(AND('Mapa final'!$Y$48="Alta",'Mapa final'!$AA$48="Catastrófico"),CONCATENATE("R7C",'Mapa final'!$O$48),"")</f>
        <v/>
      </c>
      <c r="AK22" s="55" t="str">
        <f>IF(AND('Mapa final'!$Y$49="Alta",'Mapa final'!$AA$49="Catastrófico"),CONCATENATE("R7C",'Mapa final'!$O$49),"")</f>
        <v/>
      </c>
      <c r="AL22" s="55" t="str">
        <f>IF(AND('Mapa final'!$Y$50="Alta",'Mapa final'!$AA$50="Catastrófico"),CONCATENATE("R7C",'Mapa final'!$O$50),"")</f>
        <v/>
      </c>
      <c r="AM22" s="56" t="str">
        <f>IF(AND('Mapa final'!$Y$51="Alta",'Mapa final'!$AA$51="Catastrófico"),CONCATENATE("R7C",'Mapa final'!$O$51),"")</f>
        <v/>
      </c>
      <c r="AN22" s="82"/>
      <c r="AO22" s="394"/>
      <c r="AP22" s="395"/>
      <c r="AQ22" s="395"/>
      <c r="AR22" s="395"/>
      <c r="AS22" s="395"/>
      <c r="AT22" s="396"/>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343"/>
      <c r="C23" s="343"/>
      <c r="D23" s="344"/>
      <c r="E23" s="384"/>
      <c r="F23" s="385"/>
      <c r="G23" s="385"/>
      <c r="H23" s="385"/>
      <c r="I23" s="385"/>
      <c r="J23" s="66" t="str">
        <f>IF(AND('Mapa final'!$Y$52="Alta",'Mapa final'!$AA$52="Leve"),CONCATENATE("R8C",'Mapa final'!$O$52),"")</f>
        <v/>
      </c>
      <c r="K23" s="67" t="str">
        <f>IF(AND('Mapa final'!$Y$53="Alta",'Mapa final'!$AA$53="Leve"),CONCATENATE("R8C",'Mapa final'!$O$53),"")</f>
        <v/>
      </c>
      <c r="L23" s="67" t="str">
        <f>IF(AND('Mapa final'!$Y$54="Alta",'Mapa final'!$AA$54="Leve"),CONCATENATE("R8C",'Mapa final'!$O$54),"")</f>
        <v/>
      </c>
      <c r="M23" s="67" t="str">
        <f>IF(AND('Mapa final'!$Y$55="Alta",'Mapa final'!$AA$55="Leve"),CONCATENATE("R8C",'Mapa final'!$O$55),"")</f>
        <v/>
      </c>
      <c r="N23" s="67" t="str">
        <f>IF(AND('Mapa final'!$Y$56="Alta",'Mapa final'!$AA$56="Leve"),CONCATENATE("R8C",'Mapa final'!$O$56),"")</f>
        <v/>
      </c>
      <c r="O23" s="68" t="str">
        <f>IF(AND('Mapa final'!$Y$57="Alta",'Mapa final'!$AA$57="Leve"),CONCATENATE("R8C",'Mapa final'!$O$57),"")</f>
        <v/>
      </c>
      <c r="P23" s="66" t="str">
        <f>IF(AND('Mapa final'!$Y$52="Alta",'Mapa final'!$AA$52="Menor"),CONCATENATE("R8C",'Mapa final'!$O$52),"")</f>
        <v/>
      </c>
      <c r="Q23" s="67" t="str">
        <f>IF(AND('Mapa final'!$Y$53="Alta",'Mapa final'!$AA$53="Menor"),CONCATENATE("R8C",'Mapa final'!$O$53),"")</f>
        <v/>
      </c>
      <c r="R23" s="67" t="str">
        <f>IF(AND('Mapa final'!$Y$54="Alta",'Mapa final'!$AA$54="Menor"),CONCATENATE("R8C",'Mapa final'!$O$54),"")</f>
        <v/>
      </c>
      <c r="S23" s="67" t="str">
        <f>IF(AND('Mapa final'!$Y$55="Alta",'Mapa final'!$AA$55="Menor"),CONCATENATE("R8C",'Mapa final'!$O$55),"")</f>
        <v/>
      </c>
      <c r="T23" s="67" t="str">
        <f>IF(AND('Mapa final'!$Y$56="Alta",'Mapa final'!$AA$56="Menor"),CONCATENATE("R8C",'Mapa final'!$O$56),"")</f>
        <v/>
      </c>
      <c r="U23" s="68" t="str">
        <f>IF(AND('Mapa final'!$Y$57="Alta",'Mapa final'!$AA$57="Menor"),CONCATENATE("R8C",'Mapa final'!$O$57),"")</f>
        <v/>
      </c>
      <c r="V23" s="51" t="str">
        <f>IF(AND('Mapa final'!$Y$52="Alta",'Mapa final'!$AA$52="Moderado"),CONCATENATE("R8C",'Mapa final'!$O$52),"")</f>
        <v/>
      </c>
      <c r="W23" s="52" t="str">
        <f>IF(AND('Mapa final'!$Y$53="Alta",'Mapa final'!$AA$53="Moderado"),CONCATENATE("R8C",'Mapa final'!$O$53),"")</f>
        <v/>
      </c>
      <c r="X23" s="52" t="str">
        <f>IF(AND('Mapa final'!$Y$54="Alta",'Mapa final'!$AA$54="Moderado"),CONCATENATE("R8C",'Mapa final'!$O$54),"")</f>
        <v/>
      </c>
      <c r="Y23" s="52" t="str">
        <f>IF(AND('Mapa final'!$Y$55="Alta",'Mapa final'!$AA$55="Moderado"),CONCATENATE("R8C",'Mapa final'!$O$55),"")</f>
        <v/>
      </c>
      <c r="Z23" s="52" t="str">
        <f>IF(AND('Mapa final'!$Y$56="Alta",'Mapa final'!$AA$56="Moderado"),CONCATENATE("R8C",'Mapa final'!$O$56),"")</f>
        <v/>
      </c>
      <c r="AA23" s="53" t="str">
        <f>IF(AND('Mapa final'!$Y$57="Alta",'Mapa final'!$AA$57="Moderado"),CONCATENATE("R8C",'Mapa final'!$O$57),"")</f>
        <v/>
      </c>
      <c r="AB23" s="51" t="str">
        <f>IF(AND('Mapa final'!$Y$52="Alta",'Mapa final'!$AA$52="Mayor"),CONCATENATE("R8C",'Mapa final'!$O$52),"")</f>
        <v/>
      </c>
      <c r="AC23" s="52" t="str">
        <f>IF(AND('Mapa final'!$Y$53="Alta",'Mapa final'!$AA$53="Mayor"),CONCATENATE("R8C",'Mapa final'!$O$53),"")</f>
        <v/>
      </c>
      <c r="AD23" s="52" t="str">
        <f>IF(AND('Mapa final'!$Y$54="Alta",'Mapa final'!$AA$54="Mayor"),CONCATENATE("R8C",'Mapa final'!$O$54),"")</f>
        <v/>
      </c>
      <c r="AE23" s="52" t="str">
        <f>IF(AND('Mapa final'!$Y$55="Alta",'Mapa final'!$AA$55="Mayor"),CONCATENATE("R8C",'Mapa final'!$O$55),"")</f>
        <v/>
      </c>
      <c r="AF23" s="52" t="str">
        <f>IF(AND('Mapa final'!$Y$56="Alta",'Mapa final'!$AA$56="Mayor"),CONCATENATE("R8C",'Mapa final'!$O$56),"")</f>
        <v/>
      </c>
      <c r="AG23" s="53" t="str">
        <f>IF(AND('Mapa final'!$Y$57="Alta",'Mapa final'!$AA$57="Mayor"),CONCATENATE("R8C",'Mapa final'!$O$57),"")</f>
        <v/>
      </c>
      <c r="AH23" s="54" t="str">
        <f>IF(AND('Mapa final'!$Y$52="Alta",'Mapa final'!$AA$52="Catastrófico"),CONCATENATE("R8C",'Mapa final'!$O$52),"")</f>
        <v/>
      </c>
      <c r="AI23" s="55" t="str">
        <f>IF(AND('Mapa final'!$Y$53="Alta",'Mapa final'!$AA$53="Catastrófico"),CONCATENATE("R8C",'Mapa final'!$O$53),"")</f>
        <v/>
      </c>
      <c r="AJ23" s="55" t="str">
        <f>IF(AND('Mapa final'!$Y$54="Alta",'Mapa final'!$AA$54="Catastrófico"),CONCATENATE("R8C",'Mapa final'!$O$54),"")</f>
        <v/>
      </c>
      <c r="AK23" s="55" t="str">
        <f>IF(AND('Mapa final'!$Y$55="Alta",'Mapa final'!$AA$55="Catastrófico"),CONCATENATE("R8C",'Mapa final'!$O$55),"")</f>
        <v/>
      </c>
      <c r="AL23" s="55" t="str">
        <f>IF(AND('Mapa final'!$Y$56="Alta",'Mapa final'!$AA$56="Catastrófico"),CONCATENATE("R8C",'Mapa final'!$O$56),"")</f>
        <v/>
      </c>
      <c r="AM23" s="56" t="str">
        <f>IF(AND('Mapa final'!$Y$57="Alta",'Mapa final'!$AA$57="Catastrófico"),CONCATENATE("R8C",'Mapa final'!$O$57),"")</f>
        <v/>
      </c>
      <c r="AN23" s="82"/>
      <c r="AO23" s="394"/>
      <c r="AP23" s="395"/>
      <c r="AQ23" s="395"/>
      <c r="AR23" s="395"/>
      <c r="AS23" s="395"/>
      <c r="AT23" s="396"/>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343"/>
      <c r="C24" s="343"/>
      <c r="D24" s="344"/>
      <c r="E24" s="384"/>
      <c r="F24" s="385"/>
      <c r="G24" s="385"/>
      <c r="H24" s="385"/>
      <c r="I24" s="385"/>
      <c r="J24" s="66" t="str">
        <f>IF(AND('Mapa final'!$Y$58="Alta",'Mapa final'!$AA$58="Leve"),CONCATENATE("R9C",'Mapa final'!$O$58),"")</f>
        <v/>
      </c>
      <c r="K24" s="67" t="str">
        <f>IF(AND('Mapa final'!$Y$59="Alta",'Mapa final'!$AA$59="Leve"),CONCATENATE("R9C",'Mapa final'!$O$59),"")</f>
        <v/>
      </c>
      <c r="L24" s="67" t="str">
        <f>IF(AND('Mapa final'!$Y$60="Alta",'Mapa final'!$AA$60="Leve"),CONCATENATE("R9C",'Mapa final'!$O$60),"")</f>
        <v/>
      </c>
      <c r="M24" s="67" t="str">
        <f>IF(AND('Mapa final'!$Y$61="Alta",'Mapa final'!$AA$61="Leve"),CONCATENATE("R9C",'Mapa final'!$O$61),"")</f>
        <v/>
      </c>
      <c r="N24" s="67" t="str">
        <f>IF(AND('Mapa final'!$Y$62="Alta",'Mapa final'!$AA$62="Leve"),CONCATENATE("R9C",'Mapa final'!$O$62),"")</f>
        <v/>
      </c>
      <c r="O24" s="68" t="str">
        <f>IF(AND('Mapa final'!$Y$63="Alta",'Mapa final'!$AA$63="Leve"),CONCATENATE("R9C",'Mapa final'!$O$63),"")</f>
        <v/>
      </c>
      <c r="P24" s="66" t="str">
        <f>IF(AND('Mapa final'!$Y$58="Alta",'Mapa final'!$AA$58="Menor"),CONCATENATE("R9C",'Mapa final'!$O$58),"")</f>
        <v/>
      </c>
      <c r="Q24" s="67" t="str">
        <f>IF(AND('Mapa final'!$Y$59="Alta",'Mapa final'!$AA$59="Menor"),CONCATENATE("R9C",'Mapa final'!$O$59),"")</f>
        <v/>
      </c>
      <c r="R24" s="67" t="str">
        <f>IF(AND('Mapa final'!$Y$60="Alta",'Mapa final'!$AA$60="Menor"),CONCATENATE("R9C",'Mapa final'!$O$60),"")</f>
        <v/>
      </c>
      <c r="S24" s="67" t="str">
        <f>IF(AND('Mapa final'!$Y$61="Alta",'Mapa final'!$AA$61="Menor"),CONCATENATE("R9C",'Mapa final'!$O$61),"")</f>
        <v/>
      </c>
      <c r="T24" s="67" t="str">
        <f>IF(AND('Mapa final'!$Y$62="Alta",'Mapa final'!$AA$62="Menor"),CONCATENATE("R9C",'Mapa final'!$O$62),"")</f>
        <v/>
      </c>
      <c r="U24" s="68" t="str">
        <f>IF(AND('Mapa final'!$Y$63="Alta",'Mapa final'!$AA$63="Menor"),CONCATENATE("R9C",'Mapa final'!$O$63),"")</f>
        <v/>
      </c>
      <c r="V24" s="51" t="str">
        <f>IF(AND('Mapa final'!$Y$58="Alta",'Mapa final'!$AA$58="Moderado"),CONCATENATE("R9C",'Mapa final'!$O$58),"")</f>
        <v/>
      </c>
      <c r="W24" s="52" t="str">
        <f>IF(AND('Mapa final'!$Y$59="Alta",'Mapa final'!$AA$59="Moderado"),CONCATENATE("R9C",'Mapa final'!$O$59),"")</f>
        <v/>
      </c>
      <c r="X24" s="52" t="str">
        <f>IF(AND('Mapa final'!$Y$60="Alta",'Mapa final'!$AA$60="Moderado"),CONCATENATE("R9C",'Mapa final'!$O$60),"")</f>
        <v/>
      </c>
      <c r="Y24" s="52" t="str">
        <f>IF(AND('Mapa final'!$Y$61="Alta",'Mapa final'!$AA$61="Moderado"),CONCATENATE("R9C",'Mapa final'!$O$61),"")</f>
        <v/>
      </c>
      <c r="Z24" s="52" t="str">
        <f>IF(AND('Mapa final'!$Y$62="Alta",'Mapa final'!$AA$62="Moderado"),CONCATENATE("R9C",'Mapa final'!$O$62),"")</f>
        <v/>
      </c>
      <c r="AA24" s="53" t="str">
        <f>IF(AND('Mapa final'!$Y$63="Alta",'Mapa final'!$AA$63="Moderado"),CONCATENATE("R9C",'Mapa final'!$O$63),"")</f>
        <v/>
      </c>
      <c r="AB24" s="51" t="str">
        <f>IF(AND('Mapa final'!$Y$58="Alta",'Mapa final'!$AA$58="Mayor"),CONCATENATE("R9C",'Mapa final'!$O$58),"")</f>
        <v/>
      </c>
      <c r="AC24" s="52" t="str">
        <f>IF(AND('Mapa final'!$Y$59="Alta",'Mapa final'!$AA$59="Mayor"),CONCATENATE("R9C",'Mapa final'!$O$59),"")</f>
        <v/>
      </c>
      <c r="AD24" s="52" t="str">
        <f>IF(AND('Mapa final'!$Y$60="Alta",'Mapa final'!$AA$60="Mayor"),CONCATENATE("R9C",'Mapa final'!$O$60),"")</f>
        <v/>
      </c>
      <c r="AE24" s="52" t="str">
        <f>IF(AND('Mapa final'!$Y$61="Alta",'Mapa final'!$AA$61="Mayor"),CONCATENATE("R9C",'Mapa final'!$O$61),"")</f>
        <v/>
      </c>
      <c r="AF24" s="52" t="str">
        <f>IF(AND('Mapa final'!$Y$62="Alta",'Mapa final'!$AA$62="Mayor"),CONCATENATE("R9C",'Mapa final'!$O$62),"")</f>
        <v/>
      </c>
      <c r="AG24" s="53" t="str">
        <f>IF(AND('Mapa final'!$Y$63="Alta",'Mapa final'!$AA$63="Mayor"),CONCATENATE("R9C",'Mapa final'!$O$63),"")</f>
        <v/>
      </c>
      <c r="AH24" s="54" t="str">
        <f>IF(AND('Mapa final'!$Y$58="Alta",'Mapa final'!$AA$58="Catastrófico"),CONCATENATE("R9C",'Mapa final'!$O$58),"")</f>
        <v/>
      </c>
      <c r="AI24" s="55" t="str">
        <f>IF(AND('Mapa final'!$Y$59="Alta",'Mapa final'!$AA$59="Catastrófico"),CONCATENATE("R9C",'Mapa final'!$O$59),"")</f>
        <v/>
      </c>
      <c r="AJ24" s="55" t="str">
        <f>IF(AND('Mapa final'!$Y$60="Alta",'Mapa final'!$AA$60="Catastrófico"),CONCATENATE("R9C",'Mapa final'!$O$60),"")</f>
        <v/>
      </c>
      <c r="AK24" s="55" t="str">
        <f>IF(AND('Mapa final'!$Y$61="Alta",'Mapa final'!$AA$61="Catastrófico"),CONCATENATE("R9C",'Mapa final'!$O$61),"")</f>
        <v/>
      </c>
      <c r="AL24" s="55" t="str">
        <f>IF(AND('Mapa final'!$Y$62="Alta",'Mapa final'!$AA$62="Catastrófico"),CONCATENATE("R9C",'Mapa final'!$O$62),"")</f>
        <v/>
      </c>
      <c r="AM24" s="56" t="str">
        <f>IF(AND('Mapa final'!$Y$63="Alta",'Mapa final'!$AA$63="Catastrófico"),CONCATENATE("R9C",'Mapa final'!$O$63),"")</f>
        <v/>
      </c>
      <c r="AN24" s="82"/>
      <c r="AO24" s="394"/>
      <c r="AP24" s="395"/>
      <c r="AQ24" s="395"/>
      <c r="AR24" s="395"/>
      <c r="AS24" s="395"/>
      <c r="AT24" s="396"/>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343"/>
      <c r="C25" s="343"/>
      <c r="D25" s="344"/>
      <c r="E25" s="387"/>
      <c r="F25" s="388"/>
      <c r="G25" s="388"/>
      <c r="H25" s="388"/>
      <c r="I25" s="388"/>
      <c r="J25" s="69" t="str">
        <f>IF(AND('Mapa final'!$Y$64="Alta",'Mapa final'!$AA$64="Leve"),CONCATENATE("R10C",'Mapa final'!$O$64),"")</f>
        <v/>
      </c>
      <c r="K25" s="70" t="str">
        <f>IF(AND('Mapa final'!$Y$65="Alta",'Mapa final'!$AA$65="Leve"),CONCATENATE("R10C",'Mapa final'!$O$65),"")</f>
        <v/>
      </c>
      <c r="L25" s="70" t="str">
        <f>IF(AND('Mapa final'!$Y$66="Alta",'Mapa final'!$AA$66="Leve"),CONCATENATE("R10C",'Mapa final'!$O$66),"")</f>
        <v/>
      </c>
      <c r="M25" s="70" t="str">
        <f>IF(AND('Mapa final'!$Y$67="Alta",'Mapa final'!$AA$67="Leve"),CONCATENATE("R10C",'Mapa final'!$O$67),"")</f>
        <v/>
      </c>
      <c r="N25" s="70" t="str">
        <f>IF(AND('Mapa final'!$Y$68="Alta",'Mapa final'!$AA$68="Leve"),CONCATENATE("R10C",'Mapa final'!$O$68),"")</f>
        <v/>
      </c>
      <c r="O25" s="71" t="str">
        <f>IF(AND('Mapa final'!$Y$69="Alta",'Mapa final'!$AA$69="Leve"),CONCATENATE("R10C",'Mapa final'!$O$69),"")</f>
        <v/>
      </c>
      <c r="P25" s="69" t="str">
        <f>IF(AND('Mapa final'!$Y$64="Alta",'Mapa final'!$AA$64="Menor"),CONCATENATE("R10C",'Mapa final'!$O$64),"")</f>
        <v/>
      </c>
      <c r="Q25" s="70" t="str">
        <f>IF(AND('Mapa final'!$Y$65="Alta",'Mapa final'!$AA$65="Menor"),CONCATENATE("R10C",'Mapa final'!$O$65),"")</f>
        <v/>
      </c>
      <c r="R25" s="70" t="str">
        <f>IF(AND('Mapa final'!$Y$66="Alta",'Mapa final'!$AA$66="Menor"),CONCATENATE("R10C",'Mapa final'!$O$66),"")</f>
        <v/>
      </c>
      <c r="S25" s="70" t="str">
        <f>IF(AND('Mapa final'!$Y$67="Alta",'Mapa final'!$AA$67="Menor"),CONCATENATE("R10C",'Mapa final'!$O$67),"")</f>
        <v/>
      </c>
      <c r="T25" s="70" t="str">
        <f>IF(AND('Mapa final'!$Y$68="Alta",'Mapa final'!$AA$68="Menor"),CONCATENATE("R10C",'Mapa final'!$O$68),"")</f>
        <v/>
      </c>
      <c r="U25" s="71" t="str">
        <f>IF(AND('Mapa final'!$Y$69="Alta",'Mapa final'!$AA$69="Menor"),CONCATENATE("R10C",'Mapa final'!$O$69),"")</f>
        <v/>
      </c>
      <c r="V25" s="57" t="str">
        <f>IF(AND('Mapa final'!$Y$64="Alta",'Mapa final'!$AA$64="Moderado"),CONCATENATE("R10C",'Mapa final'!$O$64),"")</f>
        <v/>
      </c>
      <c r="W25" s="58" t="str">
        <f>IF(AND('Mapa final'!$Y$65="Alta",'Mapa final'!$AA$65="Moderado"),CONCATENATE("R10C",'Mapa final'!$O$65),"")</f>
        <v/>
      </c>
      <c r="X25" s="58" t="str">
        <f>IF(AND('Mapa final'!$Y$66="Alta",'Mapa final'!$AA$66="Moderado"),CONCATENATE("R10C",'Mapa final'!$O$66),"")</f>
        <v/>
      </c>
      <c r="Y25" s="58" t="str">
        <f>IF(AND('Mapa final'!$Y$67="Alta",'Mapa final'!$AA$67="Moderado"),CONCATENATE("R10C",'Mapa final'!$O$67),"")</f>
        <v/>
      </c>
      <c r="Z25" s="58" t="str">
        <f>IF(AND('Mapa final'!$Y$68="Alta",'Mapa final'!$AA$68="Moderado"),CONCATENATE("R10C",'Mapa final'!$O$68),"")</f>
        <v/>
      </c>
      <c r="AA25" s="59" t="str">
        <f>IF(AND('Mapa final'!$Y$69="Alta",'Mapa final'!$AA$69="Moderado"),CONCATENATE("R10C",'Mapa final'!$O$69),"")</f>
        <v/>
      </c>
      <c r="AB25" s="57" t="str">
        <f>IF(AND('Mapa final'!$Y$64="Alta",'Mapa final'!$AA$64="Mayor"),CONCATENATE("R10C",'Mapa final'!$O$64),"")</f>
        <v/>
      </c>
      <c r="AC25" s="58" t="str">
        <f>IF(AND('Mapa final'!$Y$65="Alta",'Mapa final'!$AA$65="Mayor"),CONCATENATE("R10C",'Mapa final'!$O$65),"")</f>
        <v/>
      </c>
      <c r="AD25" s="58" t="str">
        <f>IF(AND('Mapa final'!$Y$66="Alta",'Mapa final'!$AA$66="Mayor"),CONCATENATE("R10C",'Mapa final'!$O$66),"")</f>
        <v/>
      </c>
      <c r="AE25" s="58" t="str">
        <f>IF(AND('Mapa final'!$Y$67="Alta",'Mapa final'!$AA$67="Mayor"),CONCATENATE("R10C",'Mapa final'!$O$67),"")</f>
        <v/>
      </c>
      <c r="AF25" s="58" t="str">
        <f>IF(AND('Mapa final'!$Y$68="Alta",'Mapa final'!$AA$68="Mayor"),CONCATENATE("R10C",'Mapa final'!$O$68),"")</f>
        <v/>
      </c>
      <c r="AG25" s="59" t="str">
        <f>IF(AND('Mapa final'!$Y$69="Alta",'Mapa final'!$AA$69="Mayor"),CONCATENATE("R10C",'Mapa final'!$O$69),"")</f>
        <v/>
      </c>
      <c r="AH25" s="60" t="str">
        <f>IF(AND('Mapa final'!$Y$64="Alta",'Mapa final'!$AA$64="Catastrófico"),CONCATENATE("R10C",'Mapa final'!$O$64),"")</f>
        <v/>
      </c>
      <c r="AI25" s="61" t="str">
        <f>IF(AND('Mapa final'!$Y$65="Alta",'Mapa final'!$AA$65="Catastrófico"),CONCATENATE("R10C",'Mapa final'!$O$65),"")</f>
        <v/>
      </c>
      <c r="AJ25" s="61" t="str">
        <f>IF(AND('Mapa final'!$Y$66="Alta",'Mapa final'!$AA$66="Catastrófico"),CONCATENATE("R10C",'Mapa final'!$O$66),"")</f>
        <v/>
      </c>
      <c r="AK25" s="61" t="str">
        <f>IF(AND('Mapa final'!$Y$67="Alta",'Mapa final'!$AA$67="Catastrófico"),CONCATENATE("R10C",'Mapa final'!$O$67),"")</f>
        <v/>
      </c>
      <c r="AL25" s="61" t="str">
        <f>IF(AND('Mapa final'!$Y$68="Alta",'Mapa final'!$AA$68="Catastrófico"),CONCATENATE("R10C",'Mapa final'!$O$68),"")</f>
        <v/>
      </c>
      <c r="AM25" s="62" t="str">
        <f>IF(AND('Mapa final'!$Y$69="Alta",'Mapa final'!$AA$69="Catastrófico"),CONCATENATE("R10C",'Mapa final'!$O$69),"")</f>
        <v/>
      </c>
      <c r="AN25" s="82"/>
      <c r="AO25" s="397"/>
      <c r="AP25" s="398"/>
      <c r="AQ25" s="398"/>
      <c r="AR25" s="398"/>
      <c r="AS25" s="398"/>
      <c r="AT25" s="399"/>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343"/>
      <c r="C26" s="343"/>
      <c r="D26" s="344"/>
      <c r="E26" s="381" t="s">
        <v>116</v>
      </c>
      <c r="F26" s="382"/>
      <c r="G26" s="382"/>
      <c r="H26" s="382"/>
      <c r="I26" s="383"/>
      <c r="J26" s="63" t="str">
        <f>IF(AND('Mapa final'!$Y$10="Media",'Mapa final'!$AA$10="Leve"),CONCATENATE("R1C",'Mapa final'!$O$10),"")</f>
        <v/>
      </c>
      <c r="K26" s="64" t="str">
        <f>IF(AND('Mapa final'!$Y$11="Media",'Mapa final'!$AA$11="Leve"),CONCATENATE("R1C",'Mapa final'!$O$11),"")</f>
        <v/>
      </c>
      <c r="L26" s="64" t="str">
        <f>IF(AND('Mapa final'!$Y$12="Media",'Mapa final'!$AA$12="Leve"),CONCATENATE("R1C",'Mapa final'!$O$12),"")</f>
        <v/>
      </c>
      <c r="M26" s="64" t="str">
        <f>IF(AND('Mapa final'!$Y$13="Media",'Mapa final'!$AA$13="Leve"),CONCATENATE("R1C",'Mapa final'!$O$13),"")</f>
        <v/>
      </c>
      <c r="N26" s="64" t="str">
        <f>IF(AND('Mapa final'!$Y$14="Media",'Mapa final'!$AA$14="Leve"),CONCATENATE("R1C",'Mapa final'!$O$14),"")</f>
        <v/>
      </c>
      <c r="O26" s="65" t="str">
        <f>IF(AND('Mapa final'!$Y$15="Media",'Mapa final'!$AA$15="Leve"),CONCATENATE("R1C",'Mapa final'!$O$15),"")</f>
        <v/>
      </c>
      <c r="P26" s="63" t="str">
        <f>IF(AND('Mapa final'!$Y$10="Media",'Mapa final'!$AA$10="Menor"),CONCATENATE("R1C",'Mapa final'!$O$10),"")</f>
        <v/>
      </c>
      <c r="Q26" s="64" t="str">
        <f>IF(AND('Mapa final'!$Y$11="Media",'Mapa final'!$AA$11="Menor"),CONCATENATE("R1C",'Mapa final'!$O$11),"")</f>
        <v/>
      </c>
      <c r="R26" s="64" t="str">
        <f>IF(AND('Mapa final'!$Y$12="Media",'Mapa final'!$AA$12="Menor"),CONCATENATE("R1C",'Mapa final'!$O$12),"")</f>
        <v/>
      </c>
      <c r="S26" s="64" t="str">
        <f>IF(AND('Mapa final'!$Y$13="Media",'Mapa final'!$AA$13="Menor"),CONCATENATE("R1C",'Mapa final'!$O$13),"")</f>
        <v/>
      </c>
      <c r="T26" s="64" t="str">
        <f>IF(AND('Mapa final'!$Y$14="Media",'Mapa final'!$AA$14="Menor"),CONCATENATE("R1C",'Mapa final'!$O$14),"")</f>
        <v/>
      </c>
      <c r="U26" s="65" t="str">
        <f>IF(AND('Mapa final'!$Y$15="Media",'Mapa final'!$AA$15="Menor"),CONCATENATE("R1C",'Mapa final'!$O$15),"")</f>
        <v/>
      </c>
      <c r="V26" s="63" t="str">
        <f>IF(AND('Mapa final'!$Y$10="Media",'Mapa final'!$AA$10="Moderado"),CONCATENATE("R1C",'Mapa final'!$O$10),"")</f>
        <v/>
      </c>
      <c r="W26" s="64" t="str">
        <f>IF(AND('Mapa final'!$Y$11="Media",'Mapa final'!$AA$11="Moderado"),CONCATENATE("R1C",'Mapa final'!$O$11),"")</f>
        <v/>
      </c>
      <c r="X26" s="64" t="str">
        <f>IF(AND('Mapa final'!$Y$12="Media",'Mapa final'!$AA$12="Moderado"),CONCATENATE("R1C",'Mapa final'!$O$12),"")</f>
        <v/>
      </c>
      <c r="Y26" s="64" t="str">
        <f>IF(AND('Mapa final'!$Y$13="Media",'Mapa final'!$AA$13="Moderado"),CONCATENATE("R1C",'Mapa final'!$O$13),"")</f>
        <v/>
      </c>
      <c r="Z26" s="64" t="str">
        <f>IF(AND('Mapa final'!$Y$14="Media",'Mapa final'!$AA$14="Moderado"),CONCATENATE("R1C",'Mapa final'!$O$14),"")</f>
        <v/>
      </c>
      <c r="AA26" s="65" t="str">
        <f>IF(AND('Mapa final'!$Y$15="Media",'Mapa final'!$AA$15="Moderado"),CONCATENATE("R1C",'Mapa final'!$O$15),"")</f>
        <v/>
      </c>
      <c r="AB26" s="45" t="str">
        <f>IF(AND('Mapa final'!$Y$10="Media",'Mapa final'!$AA$10="Mayor"),CONCATENATE("R1C",'Mapa final'!$O$10),"")</f>
        <v/>
      </c>
      <c r="AC26" s="46" t="str">
        <f>IF(AND('Mapa final'!$Y$11="Media",'Mapa final'!$AA$11="Mayor"),CONCATENATE("R1C",'Mapa final'!$O$11),"")</f>
        <v/>
      </c>
      <c r="AD26" s="46" t="str">
        <f>IF(AND('Mapa final'!$Y$12="Media",'Mapa final'!$AA$12="Mayor"),CONCATENATE("R1C",'Mapa final'!$O$12),"")</f>
        <v/>
      </c>
      <c r="AE26" s="46" t="str">
        <f>IF(AND('Mapa final'!$Y$13="Media",'Mapa final'!$AA$13="Mayor"),CONCATENATE("R1C",'Mapa final'!$O$13),"")</f>
        <v/>
      </c>
      <c r="AF26" s="46" t="str">
        <f>IF(AND('Mapa final'!$Y$14="Media",'Mapa final'!$AA$14="Mayor"),CONCATENATE("R1C",'Mapa final'!$O$14),"")</f>
        <v/>
      </c>
      <c r="AG26" s="47" t="str">
        <f>IF(AND('Mapa final'!$Y$15="Media",'Mapa final'!$AA$15="Mayor"),CONCATENATE("R1C",'Mapa final'!$O$15),"")</f>
        <v/>
      </c>
      <c r="AH26" s="48" t="str">
        <f>IF(AND('Mapa final'!$Y$10="Media",'Mapa final'!$AA$10="Catastrófico"),CONCATENATE("R1C",'Mapa final'!$O$10),"")</f>
        <v/>
      </c>
      <c r="AI26" s="49" t="str">
        <f>IF(AND('Mapa final'!$Y$11="Media",'Mapa final'!$AA$11="Catastrófico"),CONCATENATE("R1C",'Mapa final'!$O$11),"")</f>
        <v/>
      </c>
      <c r="AJ26" s="49" t="str">
        <f>IF(AND('Mapa final'!$Y$12="Media",'Mapa final'!$AA$12="Catastrófico"),CONCATENATE("R1C",'Mapa final'!$O$12),"")</f>
        <v/>
      </c>
      <c r="AK26" s="49" t="str">
        <f>IF(AND('Mapa final'!$Y$13="Media",'Mapa final'!$AA$13="Catastrófico"),CONCATENATE("R1C",'Mapa final'!$O$13),"")</f>
        <v/>
      </c>
      <c r="AL26" s="49" t="str">
        <f>IF(AND('Mapa final'!$Y$14="Media",'Mapa final'!$AA$14="Catastrófico"),CONCATENATE("R1C",'Mapa final'!$O$14),"")</f>
        <v/>
      </c>
      <c r="AM26" s="50" t="str">
        <f>IF(AND('Mapa final'!$Y$15="Media",'Mapa final'!$AA$15="Catastrófico"),CONCATENATE("R1C",'Mapa final'!$O$15),"")</f>
        <v/>
      </c>
      <c r="AN26" s="82"/>
      <c r="AO26" s="421" t="s">
        <v>80</v>
      </c>
      <c r="AP26" s="422"/>
      <c r="AQ26" s="422"/>
      <c r="AR26" s="422"/>
      <c r="AS26" s="422"/>
      <c r="AT26" s="423"/>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343"/>
      <c r="C27" s="343"/>
      <c r="D27" s="344"/>
      <c r="E27" s="400"/>
      <c r="F27" s="385"/>
      <c r="G27" s="385"/>
      <c r="H27" s="385"/>
      <c r="I27" s="386"/>
      <c r="J27" s="66" t="str">
        <f>IF(AND('Mapa final'!$Y$16="Media",'Mapa final'!$AA$16="Leve"),CONCATENATE("R2C",'Mapa final'!$O$16),"")</f>
        <v/>
      </c>
      <c r="K27" s="67" t="str">
        <f>IF(AND('Mapa final'!$Y$17="Media",'Mapa final'!$AA$17="Leve"),CONCATENATE("R2C",'Mapa final'!$O$17),"")</f>
        <v/>
      </c>
      <c r="L27" s="67" t="str">
        <f>IF(AND('Mapa final'!$Y$18="Media",'Mapa final'!$AA$18="Leve"),CONCATENATE("R2C",'Mapa final'!$O$18),"")</f>
        <v/>
      </c>
      <c r="M27" s="67" t="str">
        <f>IF(AND('Mapa final'!$Y$19="Media",'Mapa final'!$AA$19="Leve"),CONCATENATE("R2C",'Mapa final'!$O$19),"")</f>
        <v/>
      </c>
      <c r="N27" s="67" t="str">
        <f>IF(AND('Mapa final'!$Y$20="Media",'Mapa final'!$AA$20="Leve"),CONCATENATE("R2C",'Mapa final'!$O$20),"")</f>
        <v/>
      </c>
      <c r="O27" s="68" t="str">
        <f>IF(AND('Mapa final'!$Y$21="Media",'Mapa final'!$AA$21="Leve"),CONCATENATE("R2C",'Mapa final'!$O$21),"")</f>
        <v/>
      </c>
      <c r="P27" s="66" t="str">
        <f>IF(AND('Mapa final'!$Y$16="Media",'Mapa final'!$AA$16="Menor"),CONCATENATE("R2C",'Mapa final'!$O$16),"")</f>
        <v/>
      </c>
      <c r="Q27" s="67" t="str">
        <f>IF(AND('Mapa final'!$Y$17="Media",'Mapa final'!$AA$17="Menor"),CONCATENATE("R2C",'Mapa final'!$O$17),"")</f>
        <v/>
      </c>
      <c r="R27" s="67" t="str">
        <f>IF(AND('Mapa final'!$Y$18="Media",'Mapa final'!$AA$18="Menor"),CONCATENATE("R2C",'Mapa final'!$O$18),"")</f>
        <v/>
      </c>
      <c r="S27" s="67" t="str">
        <f>IF(AND('Mapa final'!$Y$19="Media",'Mapa final'!$AA$19="Menor"),CONCATENATE("R2C",'Mapa final'!$O$19),"")</f>
        <v/>
      </c>
      <c r="T27" s="67" t="str">
        <f>IF(AND('Mapa final'!$Y$20="Media",'Mapa final'!$AA$20="Menor"),CONCATENATE("R2C",'Mapa final'!$O$20),"")</f>
        <v/>
      </c>
      <c r="U27" s="68" t="str">
        <f>IF(AND('Mapa final'!$Y$21="Media",'Mapa final'!$AA$21="Menor"),CONCATENATE("R2C",'Mapa final'!$O$21),"")</f>
        <v/>
      </c>
      <c r="V27" s="66" t="str">
        <f>IF(AND('Mapa final'!$Y$16="Media",'Mapa final'!$AA$16="Moderado"),CONCATENATE("R2C",'Mapa final'!$O$16),"")</f>
        <v/>
      </c>
      <c r="W27" s="67" t="str">
        <f>IF(AND('Mapa final'!$Y$17="Media",'Mapa final'!$AA$17="Moderado"),CONCATENATE("R2C",'Mapa final'!$O$17),"")</f>
        <v/>
      </c>
      <c r="X27" s="67" t="str">
        <f>IF(AND('Mapa final'!$Y$18="Media",'Mapa final'!$AA$18="Moderado"),CONCATENATE("R2C",'Mapa final'!$O$18),"")</f>
        <v/>
      </c>
      <c r="Y27" s="67" t="str">
        <f>IF(AND('Mapa final'!$Y$19="Media",'Mapa final'!$AA$19="Moderado"),CONCATENATE("R2C",'Mapa final'!$O$19),"")</f>
        <v/>
      </c>
      <c r="Z27" s="67" t="str">
        <f>IF(AND('Mapa final'!$Y$20="Media",'Mapa final'!$AA$20="Moderado"),CONCATENATE("R2C",'Mapa final'!$O$20),"")</f>
        <v/>
      </c>
      <c r="AA27" s="68" t="str">
        <f>IF(AND('Mapa final'!$Y$21="Media",'Mapa final'!$AA$21="Moderado"),CONCATENATE("R2C",'Mapa final'!$O$21),"")</f>
        <v/>
      </c>
      <c r="AB27" s="51" t="str">
        <f>IF(AND('Mapa final'!$Y$16="Media",'Mapa final'!$AA$16="Mayor"),CONCATENATE("R2C",'Mapa final'!$O$16),"")</f>
        <v/>
      </c>
      <c r="AC27" s="52" t="str">
        <f>IF(AND('Mapa final'!$Y$17="Media",'Mapa final'!$AA$17="Mayor"),CONCATENATE("R2C",'Mapa final'!$O$17),"")</f>
        <v/>
      </c>
      <c r="AD27" s="52" t="str">
        <f>IF(AND('Mapa final'!$Y$18="Media",'Mapa final'!$AA$18="Mayor"),CONCATENATE("R2C",'Mapa final'!$O$18),"")</f>
        <v/>
      </c>
      <c r="AE27" s="52" t="str">
        <f>IF(AND('Mapa final'!$Y$19="Media",'Mapa final'!$AA$19="Mayor"),CONCATENATE("R2C",'Mapa final'!$O$19),"")</f>
        <v/>
      </c>
      <c r="AF27" s="52" t="str">
        <f>IF(AND('Mapa final'!$Y$20="Media",'Mapa final'!$AA$20="Mayor"),CONCATENATE("R2C",'Mapa final'!$O$20),"")</f>
        <v/>
      </c>
      <c r="AG27" s="53" t="str">
        <f>IF(AND('Mapa final'!$Y$21="Media",'Mapa final'!$AA$21="Mayor"),CONCATENATE("R2C",'Mapa final'!$O$21),"")</f>
        <v/>
      </c>
      <c r="AH27" s="54" t="str">
        <f>IF(AND('Mapa final'!$Y$16="Media",'Mapa final'!$AA$16="Catastrófico"),CONCATENATE("R2C",'Mapa final'!$O$16),"")</f>
        <v/>
      </c>
      <c r="AI27" s="55" t="str">
        <f>IF(AND('Mapa final'!$Y$17="Media",'Mapa final'!$AA$17="Catastrófico"),CONCATENATE("R2C",'Mapa final'!$O$17),"")</f>
        <v/>
      </c>
      <c r="AJ27" s="55" t="str">
        <f>IF(AND('Mapa final'!$Y$18="Media",'Mapa final'!$AA$18="Catastrófico"),CONCATENATE("R2C",'Mapa final'!$O$18),"")</f>
        <v/>
      </c>
      <c r="AK27" s="55" t="str">
        <f>IF(AND('Mapa final'!$Y$19="Media",'Mapa final'!$AA$19="Catastrófico"),CONCATENATE("R2C",'Mapa final'!$O$19),"")</f>
        <v/>
      </c>
      <c r="AL27" s="55" t="str">
        <f>IF(AND('Mapa final'!$Y$20="Media",'Mapa final'!$AA$20="Catastrófico"),CONCATENATE("R2C",'Mapa final'!$O$20),"")</f>
        <v/>
      </c>
      <c r="AM27" s="56" t="str">
        <f>IF(AND('Mapa final'!$Y$21="Media",'Mapa final'!$AA$21="Catastrófico"),CONCATENATE("R2C",'Mapa final'!$O$21),"")</f>
        <v/>
      </c>
      <c r="AN27" s="82"/>
      <c r="AO27" s="424"/>
      <c r="AP27" s="425"/>
      <c r="AQ27" s="425"/>
      <c r="AR27" s="425"/>
      <c r="AS27" s="425"/>
      <c r="AT27" s="426"/>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343"/>
      <c r="C28" s="343"/>
      <c r="D28" s="344"/>
      <c r="E28" s="384"/>
      <c r="F28" s="385"/>
      <c r="G28" s="385"/>
      <c r="H28" s="385"/>
      <c r="I28" s="386"/>
      <c r="J28" s="66" t="str">
        <f>IF(AND('Mapa final'!$Y$22="Media",'Mapa final'!$AA$22="Leve"),CONCATENATE("R3C",'Mapa final'!$O$22),"")</f>
        <v/>
      </c>
      <c r="K28" s="67" t="str">
        <f>IF(AND('Mapa final'!$Y$23="Media",'Mapa final'!$AA$23="Leve"),CONCATENATE("R3C",'Mapa final'!$O$23),"")</f>
        <v/>
      </c>
      <c r="L28" s="67" t="str">
        <f>IF(AND('Mapa final'!$Y$24="Media",'Mapa final'!$AA$24="Leve"),CONCATENATE("R3C",'Mapa final'!$O$24),"")</f>
        <v/>
      </c>
      <c r="M28" s="67" t="str">
        <f>IF(AND('Mapa final'!$Y$25="Media",'Mapa final'!$AA$25="Leve"),CONCATENATE("R3C",'Mapa final'!$O$25),"")</f>
        <v/>
      </c>
      <c r="N28" s="67" t="str">
        <f>IF(AND('Mapa final'!$Y$26="Media",'Mapa final'!$AA$26="Leve"),CONCATENATE("R3C",'Mapa final'!$O$26),"")</f>
        <v/>
      </c>
      <c r="O28" s="68" t="str">
        <f>IF(AND('Mapa final'!$Y$27="Media",'Mapa final'!$AA$27="Leve"),CONCATENATE("R3C",'Mapa final'!$O$27),"")</f>
        <v/>
      </c>
      <c r="P28" s="66" t="str">
        <f>IF(AND('Mapa final'!$Y$22="Media",'Mapa final'!$AA$22="Menor"),CONCATENATE("R3C",'Mapa final'!$O$22),"")</f>
        <v/>
      </c>
      <c r="Q28" s="67" t="str">
        <f>IF(AND('Mapa final'!$Y$23="Media",'Mapa final'!$AA$23="Menor"),CONCATENATE("R3C",'Mapa final'!$O$23),"")</f>
        <v/>
      </c>
      <c r="R28" s="67" t="str">
        <f>IF(AND('Mapa final'!$Y$24="Media",'Mapa final'!$AA$24="Menor"),CONCATENATE("R3C",'Mapa final'!$O$24),"")</f>
        <v/>
      </c>
      <c r="S28" s="67" t="str">
        <f>IF(AND('Mapa final'!$Y$25="Media",'Mapa final'!$AA$25="Menor"),CONCATENATE("R3C",'Mapa final'!$O$25),"")</f>
        <v/>
      </c>
      <c r="T28" s="67" t="str">
        <f>IF(AND('Mapa final'!$Y$26="Media",'Mapa final'!$AA$26="Menor"),CONCATENATE("R3C",'Mapa final'!$O$26),"")</f>
        <v/>
      </c>
      <c r="U28" s="68" t="str">
        <f>IF(AND('Mapa final'!$Y$27="Media",'Mapa final'!$AA$27="Menor"),CONCATENATE("R3C",'Mapa final'!$O$27),"")</f>
        <v/>
      </c>
      <c r="V28" s="66" t="str">
        <f>IF(AND('Mapa final'!$Y$22="Media",'Mapa final'!$AA$22="Moderado"),CONCATENATE("R3C",'Mapa final'!$O$22),"")</f>
        <v/>
      </c>
      <c r="W28" s="67" t="str">
        <f>IF(AND('Mapa final'!$Y$23="Media",'Mapa final'!$AA$23="Moderado"),CONCATENATE("R3C",'Mapa final'!$O$23),"")</f>
        <v/>
      </c>
      <c r="X28" s="67" t="str">
        <f>IF(AND('Mapa final'!$Y$24="Media",'Mapa final'!$AA$24="Moderado"),CONCATENATE("R3C",'Mapa final'!$O$24),"")</f>
        <v/>
      </c>
      <c r="Y28" s="67" t="str">
        <f>IF(AND('Mapa final'!$Y$25="Media",'Mapa final'!$AA$25="Moderado"),CONCATENATE("R3C",'Mapa final'!$O$25),"")</f>
        <v/>
      </c>
      <c r="Z28" s="67" t="str">
        <f>IF(AND('Mapa final'!$Y$26="Media",'Mapa final'!$AA$26="Moderado"),CONCATENATE("R3C",'Mapa final'!$O$26),"")</f>
        <v/>
      </c>
      <c r="AA28" s="68" t="str">
        <f>IF(AND('Mapa final'!$Y$27="Media",'Mapa final'!$AA$27="Moderado"),CONCATENATE("R3C",'Mapa final'!$O$27),"")</f>
        <v/>
      </c>
      <c r="AB28" s="51" t="str">
        <f>IF(AND('Mapa final'!$Y$22="Media",'Mapa final'!$AA$22="Mayor"),CONCATENATE("R3C",'Mapa final'!$O$22),"")</f>
        <v/>
      </c>
      <c r="AC28" s="52" t="str">
        <f>IF(AND('Mapa final'!$Y$23="Media",'Mapa final'!$AA$23="Mayor"),CONCATENATE("R3C",'Mapa final'!$O$23),"")</f>
        <v/>
      </c>
      <c r="AD28" s="52" t="str">
        <f>IF(AND('Mapa final'!$Y$24="Media",'Mapa final'!$AA$24="Mayor"),CONCATENATE("R3C",'Mapa final'!$O$24),"")</f>
        <v/>
      </c>
      <c r="AE28" s="52" t="str">
        <f>IF(AND('Mapa final'!$Y$25="Media",'Mapa final'!$AA$25="Mayor"),CONCATENATE("R3C",'Mapa final'!$O$25),"")</f>
        <v/>
      </c>
      <c r="AF28" s="52" t="str">
        <f>IF(AND('Mapa final'!$Y$26="Media",'Mapa final'!$AA$26="Mayor"),CONCATENATE("R3C",'Mapa final'!$O$26),"")</f>
        <v/>
      </c>
      <c r="AG28" s="53" t="str">
        <f>IF(AND('Mapa final'!$Y$27="Media",'Mapa final'!$AA$27="Mayor"),CONCATENATE("R3C",'Mapa final'!$O$27),"")</f>
        <v/>
      </c>
      <c r="AH28" s="54" t="str">
        <f>IF(AND('Mapa final'!$Y$22="Media",'Mapa final'!$AA$22="Catastrófico"),CONCATENATE("R3C",'Mapa final'!$O$22),"")</f>
        <v/>
      </c>
      <c r="AI28" s="55" t="str">
        <f>IF(AND('Mapa final'!$Y$23="Media",'Mapa final'!$AA$23="Catastrófico"),CONCATENATE("R3C",'Mapa final'!$O$23),"")</f>
        <v/>
      </c>
      <c r="AJ28" s="55" t="str">
        <f>IF(AND('Mapa final'!$Y$24="Media",'Mapa final'!$AA$24="Catastrófico"),CONCATENATE("R3C",'Mapa final'!$O$24),"")</f>
        <v/>
      </c>
      <c r="AK28" s="55" t="str">
        <f>IF(AND('Mapa final'!$Y$25="Media",'Mapa final'!$AA$25="Catastrófico"),CONCATENATE("R3C",'Mapa final'!$O$25),"")</f>
        <v/>
      </c>
      <c r="AL28" s="55" t="str">
        <f>IF(AND('Mapa final'!$Y$26="Media",'Mapa final'!$AA$26="Catastrófico"),CONCATENATE("R3C",'Mapa final'!$O$26),"")</f>
        <v/>
      </c>
      <c r="AM28" s="56" t="str">
        <f>IF(AND('Mapa final'!$Y$27="Media",'Mapa final'!$AA$27="Catastrófico"),CONCATENATE("R3C",'Mapa final'!$O$27),"")</f>
        <v/>
      </c>
      <c r="AN28" s="82"/>
      <c r="AO28" s="424"/>
      <c r="AP28" s="425"/>
      <c r="AQ28" s="425"/>
      <c r="AR28" s="425"/>
      <c r="AS28" s="425"/>
      <c r="AT28" s="426"/>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343"/>
      <c r="C29" s="343"/>
      <c r="D29" s="344"/>
      <c r="E29" s="384"/>
      <c r="F29" s="385"/>
      <c r="G29" s="385"/>
      <c r="H29" s="385"/>
      <c r="I29" s="386"/>
      <c r="J29" s="66" t="str">
        <f>IF(AND('Mapa final'!$Y$28="Media",'Mapa final'!$AA$28="Leve"),CONCATENATE("R4C",'Mapa final'!$O$28),"")</f>
        <v/>
      </c>
      <c r="K29" s="67" t="str">
        <f>IF(AND('Mapa final'!$Y$29="Media",'Mapa final'!$AA$29="Leve"),CONCATENATE("R4C",'Mapa final'!$O$29),"")</f>
        <v/>
      </c>
      <c r="L29" s="67" t="str">
        <f>IF(AND('Mapa final'!$Y$30="Media",'Mapa final'!$AA$30="Leve"),CONCATENATE("R4C",'Mapa final'!$O$30),"")</f>
        <v/>
      </c>
      <c r="M29" s="67" t="str">
        <f>IF(AND('Mapa final'!$Y$31="Media",'Mapa final'!$AA$31="Leve"),CONCATENATE("R4C",'Mapa final'!$O$31),"")</f>
        <v/>
      </c>
      <c r="N29" s="67" t="str">
        <f>IF(AND('Mapa final'!$Y$32="Media",'Mapa final'!$AA$32="Leve"),CONCATENATE("R4C",'Mapa final'!$O$32),"")</f>
        <v/>
      </c>
      <c r="O29" s="68" t="str">
        <f>IF(AND('Mapa final'!$Y$33="Media",'Mapa final'!$AA$33="Leve"),CONCATENATE("R4C",'Mapa final'!$O$33),"")</f>
        <v/>
      </c>
      <c r="P29" s="66" t="str">
        <f>IF(AND('Mapa final'!$Y$28="Media",'Mapa final'!$AA$28="Menor"),CONCATENATE("R4C",'Mapa final'!$O$28),"")</f>
        <v/>
      </c>
      <c r="Q29" s="67" t="str">
        <f>IF(AND('Mapa final'!$Y$29="Media",'Mapa final'!$AA$29="Menor"),CONCATENATE("R4C",'Mapa final'!$O$29),"")</f>
        <v/>
      </c>
      <c r="R29" s="67" t="str">
        <f>IF(AND('Mapa final'!$Y$30="Media",'Mapa final'!$AA$30="Menor"),CONCATENATE("R4C",'Mapa final'!$O$30),"")</f>
        <v/>
      </c>
      <c r="S29" s="67" t="str">
        <f>IF(AND('Mapa final'!$Y$31="Media",'Mapa final'!$AA$31="Menor"),CONCATENATE("R4C",'Mapa final'!$O$31),"")</f>
        <v/>
      </c>
      <c r="T29" s="67" t="str">
        <f>IF(AND('Mapa final'!$Y$32="Media",'Mapa final'!$AA$32="Menor"),CONCATENATE("R4C",'Mapa final'!$O$32),"")</f>
        <v/>
      </c>
      <c r="U29" s="68" t="str">
        <f>IF(AND('Mapa final'!$Y$33="Media",'Mapa final'!$AA$33="Menor"),CONCATENATE("R4C",'Mapa final'!$O$33),"")</f>
        <v/>
      </c>
      <c r="V29" s="66" t="str">
        <f>IF(AND('Mapa final'!$Y$28="Media",'Mapa final'!$AA$28="Moderado"),CONCATENATE("R4C",'Mapa final'!$O$28),"")</f>
        <v/>
      </c>
      <c r="W29" s="67" t="str">
        <f>IF(AND('Mapa final'!$Y$29="Media",'Mapa final'!$AA$29="Moderado"),CONCATENATE("R4C",'Mapa final'!$O$29),"")</f>
        <v/>
      </c>
      <c r="X29" s="67" t="str">
        <f>IF(AND('Mapa final'!$Y$30="Media",'Mapa final'!$AA$30="Moderado"),CONCATENATE("R4C",'Mapa final'!$O$30),"")</f>
        <v/>
      </c>
      <c r="Y29" s="67" t="str">
        <f>IF(AND('Mapa final'!$Y$31="Media",'Mapa final'!$AA$31="Moderado"),CONCATENATE("R4C",'Mapa final'!$O$31),"")</f>
        <v/>
      </c>
      <c r="Z29" s="67" t="str">
        <f>IF(AND('Mapa final'!$Y$32="Media",'Mapa final'!$AA$32="Moderado"),CONCATENATE("R4C",'Mapa final'!$O$32),"")</f>
        <v/>
      </c>
      <c r="AA29" s="68" t="str">
        <f>IF(AND('Mapa final'!$Y$33="Media",'Mapa final'!$AA$33="Moderado"),CONCATENATE("R4C",'Mapa final'!$O$33),"")</f>
        <v/>
      </c>
      <c r="AB29" s="51" t="str">
        <f>IF(AND('Mapa final'!$Y$28="Media",'Mapa final'!$AA$28="Mayor"),CONCATENATE("R4C",'Mapa final'!$O$28),"")</f>
        <v/>
      </c>
      <c r="AC29" s="52" t="str">
        <f>IF(AND('Mapa final'!$Y$29="Media",'Mapa final'!$AA$29="Mayor"),CONCATENATE("R4C",'Mapa final'!$O$29),"")</f>
        <v/>
      </c>
      <c r="AD29" s="52" t="str">
        <f>IF(AND('Mapa final'!$Y$30="Media",'Mapa final'!$AA$30="Mayor"),CONCATENATE("R4C",'Mapa final'!$O$30),"")</f>
        <v/>
      </c>
      <c r="AE29" s="52" t="str">
        <f>IF(AND('Mapa final'!$Y$31="Media",'Mapa final'!$AA$31="Mayor"),CONCATENATE("R4C",'Mapa final'!$O$31),"")</f>
        <v/>
      </c>
      <c r="AF29" s="52" t="str">
        <f>IF(AND('Mapa final'!$Y$32="Media",'Mapa final'!$AA$32="Mayor"),CONCATENATE("R4C",'Mapa final'!$O$32),"")</f>
        <v/>
      </c>
      <c r="AG29" s="53" t="str">
        <f>IF(AND('Mapa final'!$Y$33="Media",'Mapa final'!$AA$33="Mayor"),CONCATENATE("R4C",'Mapa final'!$O$33),"")</f>
        <v/>
      </c>
      <c r="AH29" s="54" t="str">
        <f>IF(AND('Mapa final'!$Y$28="Media",'Mapa final'!$AA$28="Catastrófico"),CONCATENATE("R4C",'Mapa final'!$O$28),"")</f>
        <v/>
      </c>
      <c r="AI29" s="55" t="str">
        <f>IF(AND('Mapa final'!$Y$29="Media",'Mapa final'!$AA$29="Catastrófico"),CONCATENATE("R4C",'Mapa final'!$O$29),"")</f>
        <v/>
      </c>
      <c r="AJ29" s="55" t="str">
        <f>IF(AND('Mapa final'!$Y$30="Media",'Mapa final'!$AA$30="Catastrófico"),CONCATENATE("R4C",'Mapa final'!$O$30),"")</f>
        <v/>
      </c>
      <c r="AK29" s="55" t="str">
        <f>IF(AND('Mapa final'!$Y$31="Media",'Mapa final'!$AA$31="Catastrófico"),CONCATENATE("R4C",'Mapa final'!$O$31),"")</f>
        <v/>
      </c>
      <c r="AL29" s="55" t="str">
        <f>IF(AND('Mapa final'!$Y$32="Media",'Mapa final'!$AA$32="Catastrófico"),CONCATENATE("R4C",'Mapa final'!$O$32),"")</f>
        <v/>
      </c>
      <c r="AM29" s="56" t="str">
        <f>IF(AND('Mapa final'!$Y$33="Media",'Mapa final'!$AA$33="Catastrófico"),CONCATENATE("R4C",'Mapa final'!$O$33),"")</f>
        <v/>
      </c>
      <c r="AN29" s="82"/>
      <c r="AO29" s="424"/>
      <c r="AP29" s="425"/>
      <c r="AQ29" s="425"/>
      <c r="AR29" s="425"/>
      <c r="AS29" s="425"/>
      <c r="AT29" s="426"/>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343"/>
      <c r="C30" s="343"/>
      <c r="D30" s="344"/>
      <c r="E30" s="384"/>
      <c r="F30" s="385"/>
      <c r="G30" s="385"/>
      <c r="H30" s="385"/>
      <c r="I30" s="386"/>
      <c r="J30" s="66" t="str">
        <f>IF(AND('Mapa final'!$Y$34="Media",'Mapa final'!$AA$34="Leve"),CONCATENATE("R5C",'Mapa final'!$O$34),"")</f>
        <v/>
      </c>
      <c r="K30" s="67" t="str">
        <f>IF(AND('Mapa final'!$Y$35="Media",'Mapa final'!$AA$35="Leve"),CONCATENATE("R5C",'Mapa final'!$O$35),"")</f>
        <v/>
      </c>
      <c r="L30" s="67" t="str">
        <f>IF(AND('Mapa final'!$Y$36="Media",'Mapa final'!$AA$36="Leve"),CONCATENATE("R5C",'Mapa final'!$O$36),"")</f>
        <v/>
      </c>
      <c r="M30" s="67" t="str">
        <f>IF(AND('Mapa final'!$Y$37="Media",'Mapa final'!$AA$37="Leve"),CONCATENATE("R5C",'Mapa final'!$O$37),"")</f>
        <v/>
      </c>
      <c r="N30" s="67" t="str">
        <f>IF(AND('Mapa final'!$Y$38="Media",'Mapa final'!$AA$38="Leve"),CONCATENATE("R5C",'Mapa final'!$O$38),"")</f>
        <v/>
      </c>
      <c r="O30" s="68" t="str">
        <f>IF(AND('Mapa final'!$Y$39="Media",'Mapa final'!$AA$39="Leve"),CONCATENATE("R5C",'Mapa final'!$O$39),"")</f>
        <v/>
      </c>
      <c r="P30" s="66" t="str">
        <f>IF(AND('Mapa final'!$Y$34="Media",'Mapa final'!$AA$34="Menor"),CONCATENATE("R5C",'Mapa final'!$O$34),"")</f>
        <v/>
      </c>
      <c r="Q30" s="67" t="str">
        <f>IF(AND('Mapa final'!$Y$35="Media",'Mapa final'!$AA$35="Menor"),CONCATENATE("R5C",'Mapa final'!$O$35),"")</f>
        <v/>
      </c>
      <c r="R30" s="67" t="str">
        <f>IF(AND('Mapa final'!$Y$36="Media",'Mapa final'!$AA$36="Menor"),CONCATENATE("R5C",'Mapa final'!$O$36),"")</f>
        <v/>
      </c>
      <c r="S30" s="67" t="str">
        <f>IF(AND('Mapa final'!$Y$37="Media",'Mapa final'!$AA$37="Menor"),CONCATENATE("R5C",'Mapa final'!$O$37),"")</f>
        <v/>
      </c>
      <c r="T30" s="67" t="str">
        <f>IF(AND('Mapa final'!$Y$38="Media",'Mapa final'!$AA$38="Menor"),CONCATENATE("R5C",'Mapa final'!$O$38),"")</f>
        <v/>
      </c>
      <c r="U30" s="68" t="str">
        <f>IF(AND('Mapa final'!$Y$39="Media",'Mapa final'!$AA$39="Menor"),CONCATENATE("R5C",'Mapa final'!$O$39),"")</f>
        <v/>
      </c>
      <c r="V30" s="66" t="str">
        <f>IF(AND('Mapa final'!$Y$34="Media",'Mapa final'!$AA$34="Moderado"),CONCATENATE("R5C",'Mapa final'!$O$34),"")</f>
        <v/>
      </c>
      <c r="W30" s="67" t="str">
        <f>IF(AND('Mapa final'!$Y$35="Media",'Mapa final'!$AA$35="Moderado"),CONCATENATE("R5C",'Mapa final'!$O$35),"")</f>
        <v/>
      </c>
      <c r="X30" s="67" t="str">
        <f>IF(AND('Mapa final'!$Y$36="Media",'Mapa final'!$AA$36="Moderado"),CONCATENATE("R5C",'Mapa final'!$O$36),"")</f>
        <v/>
      </c>
      <c r="Y30" s="67" t="str">
        <f>IF(AND('Mapa final'!$Y$37="Media",'Mapa final'!$AA$37="Moderado"),CONCATENATE("R5C",'Mapa final'!$O$37),"")</f>
        <v/>
      </c>
      <c r="Z30" s="67" t="str">
        <f>IF(AND('Mapa final'!$Y$38="Media",'Mapa final'!$AA$38="Moderado"),CONCATENATE("R5C",'Mapa final'!$O$38),"")</f>
        <v/>
      </c>
      <c r="AA30" s="68" t="str">
        <f>IF(AND('Mapa final'!$Y$39="Media",'Mapa final'!$AA$39="Moderado"),CONCATENATE("R5C",'Mapa final'!$O$39),"")</f>
        <v/>
      </c>
      <c r="AB30" s="51" t="str">
        <f>IF(AND('Mapa final'!$Y$34="Media",'Mapa final'!$AA$34="Mayor"),CONCATENATE("R5C",'Mapa final'!$O$34),"")</f>
        <v/>
      </c>
      <c r="AC30" s="52" t="str">
        <f>IF(AND('Mapa final'!$Y$35="Media",'Mapa final'!$AA$35="Mayor"),CONCATENATE("R5C",'Mapa final'!$O$35),"")</f>
        <v/>
      </c>
      <c r="AD30" s="52" t="str">
        <f>IF(AND('Mapa final'!$Y$36="Media",'Mapa final'!$AA$36="Mayor"),CONCATENATE("R5C",'Mapa final'!$O$36),"")</f>
        <v/>
      </c>
      <c r="AE30" s="52" t="str">
        <f>IF(AND('Mapa final'!$Y$37="Media",'Mapa final'!$AA$37="Mayor"),CONCATENATE("R5C",'Mapa final'!$O$37),"")</f>
        <v/>
      </c>
      <c r="AF30" s="52" t="str">
        <f>IF(AND('Mapa final'!$Y$38="Media",'Mapa final'!$AA$38="Mayor"),CONCATENATE("R5C",'Mapa final'!$O$38),"")</f>
        <v/>
      </c>
      <c r="AG30" s="53" t="str">
        <f>IF(AND('Mapa final'!$Y$39="Media",'Mapa final'!$AA$39="Mayor"),CONCATENATE("R5C",'Mapa final'!$O$39),"")</f>
        <v/>
      </c>
      <c r="AH30" s="54" t="str">
        <f>IF(AND('Mapa final'!$Y$34="Media",'Mapa final'!$AA$34="Catastrófico"),CONCATENATE("R5C",'Mapa final'!$O$34),"")</f>
        <v/>
      </c>
      <c r="AI30" s="55" t="str">
        <f>IF(AND('Mapa final'!$Y$35="Media",'Mapa final'!$AA$35="Catastrófico"),CONCATENATE("R5C",'Mapa final'!$O$35),"")</f>
        <v/>
      </c>
      <c r="AJ30" s="55" t="str">
        <f>IF(AND('Mapa final'!$Y$36="Media",'Mapa final'!$AA$36="Catastrófico"),CONCATENATE("R5C",'Mapa final'!$O$36),"")</f>
        <v/>
      </c>
      <c r="AK30" s="55" t="str">
        <f>IF(AND('Mapa final'!$Y$37="Media",'Mapa final'!$AA$37="Catastrófico"),CONCATENATE("R5C",'Mapa final'!$O$37),"")</f>
        <v/>
      </c>
      <c r="AL30" s="55" t="str">
        <f>IF(AND('Mapa final'!$Y$38="Media",'Mapa final'!$AA$38="Catastrófico"),CONCATENATE("R5C",'Mapa final'!$O$38),"")</f>
        <v/>
      </c>
      <c r="AM30" s="56" t="str">
        <f>IF(AND('Mapa final'!$Y$39="Media",'Mapa final'!$AA$39="Catastrófico"),CONCATENATE("R5C",'Mapa final'!$O$39),"")</f>
        <v/>
      </c>
      <c r="AN30" s="82"/>
      <c r="AO30" s="424"/>
      <c r="AP30" s="425"/>
      <c r="AQ30" s="425"/>
      <c r="AR30" s="425"/>
      <c r="AS30" s="425"/>
      <c r="AT30" s="426"/>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343"/>
      <c r="C31" s="343"/>
      <c r="D31" s="344"/>
      <c r="E31" s="384"/>
      <c r="F31" s="385"/>
      <c r="G31" s="385"/>
      <c r="H31" s="385"/>
      <c r="I31" s="386"/>
      <c r="J31" s="66" t="str">
        <f>IF(AND('Mapa final'!$Y$40="Media",'Mapa final'!$AA$40="Leve"),CONCATENATE("R6C",'Mapa final'!$O$40),"")</f>
        <v/>
      </c>
      <c r="K31" s="67" t="str">
        <f>IF(AND('Mapa final'!$Y$41="Media",'Mapa final'!$AA$41="Leve"),CONCATENATE("R6C",'Mapa final'!$O$41),"")</f>
        <v/>
      </c>
      <c r="L31" s="67" t="str">
        <f>IF(AND('Mapa final'!$Y$42="Media",'Mapa final'!$AA$42="Leve"),CONCATENATE("R6C",'Mapa final'!$O$42),"")</f>
        <v/>
      </c>
      <c r="M31" s="67" t="str">
        <f>IF(AND('Mapa final'!$Y$43="Media",'Mapa final'!$AA$43="Leve"),CONCATENATE("R6C",'Mapa final'!$O$43),"")</f>
        <v/>
      </c>
      <c r="N31" s="67" t="str">
        <f>IF(AND('Mapa final'!$Y$44="Media",'Mapa final'!$AA$44="Leve"),CONCATENATE("R6C",'Mapa final'!$O$44),"")</f>
        <v/>
      </c>
      <c r="O31" s="68" t="str">
        <f>IF(AND('Mapa final'!$Y$45="Media",'Mapa final'!$AA$45="Leve"),CONCATENATE("R6C",'Mapa final'!$O$45),"")</f>
        <v/>
      </c>
      <c r="P31" s="66" t="str">
        <f>IF(AND('Mapa final'!$Y$40="Media",'Mapa final'!$AA$40="Menor"),CONCATENATE("R6C",'Mapa final'!$O$40),"")</f>
        <v/>
      </c>
      <c r="Q31" s="67" t="str">
        <f>IF(AND('Mapa final'!$Y$41="Media",'Mapa final'!$AA$41="Menor"),CONCATENATE("R6C",'Mapa final'!$O$41),"")</f>
        <v/>
      </c>
      <c r="R31" s="67" t="str">
        <f>IF(AND('Mapa final'!$Y$42="Media",'Mapa final'!$AA$42="Menor"),CONCATENATE("R6C",'Mapa final'!$O$42),"")</f>
        <v/>
      </c>
      <c r="S31" s="67" t="str">
        <f>IF(AND('Mapa final'!$Y$43="Media",'Mapa final'!$AA$43="Menor"),CONCATENATE("R6C",'Mapa final'!$O$43),"")</f>
        <v/>
      </c>
      <c r="T31" s="67" t="str">
        <f>IF(AND('Mapa final'!$Y$44="Media",'Mapa final'!$AA$44="Menor"),CONCATENATE("R6C",'Mapa final'!$O$44),"")</f>
        <v/>
      </c>
      <c r="U31" s="68" t="str">
        <f>IF(AND('Mapa final'!$Y$45="Media",'Mapa final'!$AA$45="Menor"),CONCATENATE("R6C",'Mapa final'!$O$45),"")</f>
        <v/>
      </c>
      <c r="V31" s="66" t="str">
        <f>IF(AND('Mapa final'!$Y$40="Media",'Mapa final'!$AA$40="Moderado"),CONCATENATE("R6C",'Mapa final'!$O$40),"")</f>
        <v/>
      </c>
      <c r="W31" s="67" t="str">
        <f>IF(AND('Mapa final'!$Y$41="Media",'Mapa final'!$AA$41="Moderado"),CONCATENATE("R6C",'Mapa final'!$O$41),"")</f>
        <v/>
      </c>
      <c r="X31" s="67" t="str">
        <f>IF(AND('Mapa final'!$Y$42="Media",'Mapa final'!$AA$42="Moderado"),CONCATENATE("R6C",'Mapa final'!$O$42),"")</f>
        <v/>
      </c>
      <c r="Y31" s="67" t="str">
        <f>IF(AND('Mapa final'!$Y$43="Media",'Mapa final'!$AA$43="Moderado"),CONCATENATE("R6C",'Mapa final'!$O$43),"")</f>
        <v/>
      </c>
      <c r="Z31" s="67" t="str">
        <f>IF(AND('Mapa final'!$Y$44="Media",'Mapa final'!$AA$44="Moderado"),CONCATENATE("R6C",'Mapa final'!$O$44),"")</f>
        <v/>
      </c>
      <c r="AA31" s="68" t="str">
        <f>IF(AND('Mapa final'!$Y$45="Media",'Mapa final'!$AA$45="Moderado"),CONCATENATE("R6C",'Mapa final'!$O$45),"")</f>
        <v/>
      </c>
      <c r="AB31" s="51" t="str">
        <f>IF(AND('Mapa final'!$Y$40="Media",'Mapa final'!$AA$40="Mayor"),CONCATENATE("R6C",'Mapa final'!$O$40),"")</f>
        <v/>
      </c>
      <c r="AC31" s="52" t="str">
        <f>IF(AND('Mapa final'!$Y$41="Media",'Mapa final'!$AA$41="Mayor"),CONCATENATE("R6C",'Mapa final'!$O$41),"")</f>
        <v/>
      </c>
      <c r="AD31" s="52" t="str">
        <f>IF(AND('Mapa final'!$Y$42="Media",'Mapa final'!$AA$42="Mayor"),CONCATENATE("R6C",'Mapa final'!$O$42),"")</f>
        <v/>
      </c>
      <c r="AE31" s="52" t="str">
        <f>IF(AND('Mapa final'!$Y$43="Media",'Mapa final'!$AA$43="Mayor"),CONCATENATE("R6C",'Mapa final'!$O$43),"")</f>
        <v/>
      </c>
      <c r="AF31" s="52" t="str">
        <f>IF(AND('Mapa final'!$Y$44="Media",'Mapa final'!$AA$44="Mayor"),CONCATENATE("R6C",'Mapa final'!$O$44),"")</f>
        <v/>
      </c>
      <c r="AG31" s="53" t="str">
        <f>IF(AND('Mapa final'!$Y$45="Media",'Mapa final'!$AA$45="Mayor"),CONCATENATE("R6C",'Mapa final'!$O$45),"")</f>
        <v/>
      </c>
      <c r="AH31" s="54" t="str">
        <f>IF(AND('Mapa final'!$Y$40="Media",'Mapa final'!$AA$40="Catastrófico"),CONCATENATE("R6C",'Mapa final'!$O$40),"")</f>
        <v/>
      </c>
      <c r="AI31" s="55" t="str">
        <f>IF(AND('Mapa final'!$Y$41="Media",'Mapa final'!$AA$41="Catastrófico"),CONCATENATE("R6C",'Mapa final'!$O$41),"")</f>
        <v/>
      </c>
      <c r="AJ31" s="55" t="str">
        <f>IF(AND('Mapa final'!$Y$42="Media",'Mapa final'!$AA$42="Catastrófico"),CONCATENATE("R6C",'Mapa final'!$O$42),"")</f>
        <v/>
      </c>
      <c r="AK31" s="55" t="str">
        <f>IF(AND('Mapa final'!$Y$43="Media",'Mapa final'!$AA$43="Catastrófico"),CONCATENATE("R6C",'Mapa final'!$O$43),"")</f>
        <v/>
      </c>
      <c r="AL31" s="55" t="str">
        <f>IF(AND('Mapa final'!$Y$44="Media",'Mapa final'!$AA$44="Catastrófico"),CONCATENATE("R6C",'Mapa final'!$O$44),"")</f>
        <v/>
      </c>
      <c r="AM31" s="56" t="str">
        <f>IF(AND('Mapa final'!$Y$45="Media",'Mapa final'!$AA$45="Catastrófico"),CONCATENATE("R6C",'Mapa final'!$O$45),"")</f>
        <v/>
      </c>
      <c r="AN31" s="82"/>
      <c r="AO31" s="424"/>
      <c r="AP31" s="425"/>
      <c r="AQ31" s="425"/>
      <c r="AR31" s="425"/>
      <c r="AS31" s="425"/>
      <c r="AT31" s="42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343"/>
      <c r="C32" s="343"/>
      <c r="D32" s="344"/>
      <c r="E32" s="384"/>
      <c r="F32" s="385"/>
      <c r="G32" s="385"/>
      <c r="H32" s="385"/>
      <c r="I32" s="386"/>
      <c r="J32" s="66" t="str">
        <f>IF(AND('Mapa final'!$Y$46="Media",'Mapa final'!$AA$46="Leve"),CONCATENATE("R7C",'Mapa final'!$O$46),"")</f>
        <v/>
      </c>
      <c r="K32" s="67" t="str">
        <f>IF(AND('Mapa final'!$Y$47="Media",'Mapa final'!$AA$47="Leve"),CONCATENATE("R7C",'Mapa final'!$O$47),"")</f>
        <v/>
      </c>
      <c r="L32" s="67" t="str">
        <f>IF(AND('Mapa final'!$Y$48="Media",'Mapa final'!$AA$48="Leve"),CONCATENATE("R7C",'Mapa final'!$O$48),"")</f>
        <v/>
      </c>
      <c r="M32" s="67" t="str">
        <f>IF(AND('Mapa final'!$Y$49="Media",'Mapa final'!$AA$49="Leve"),CONCATENATE("R7C",'Mapa final'!$O$49),"")</f>
        <v/>
      </c>
      <c r="N32" s="67" t="str">
        <f>IF(AND('Mapa final'!$Y$50="Media",'Mapa final'!$AA$50="Leve"),CONCATENATE("R7C",'Mapa final'!$O$50),"")</f>
        <v/>
      </c>
      <c r="O32" s="68" t="str">
        <f>IF(AND('Mapa final'!$Y$51="Media",'Mapa final'!$AA$51="Leve"),CONCATENATE("R7C",'Mapa final'!$O$51),"")</f>
        <v/>
      </c>
      <c r="P32" s="66" t="str">
        <f>IF(AND('Mapa final'!$Y$46="Media",'Mapa final'!$AA$46="Menor"),CONCATENATE("R7C",'Mapa final'!$O$46),"")</f>
        <v/>
      </c>
      <c r="Q32" s="67" t="str">
        <f>IF(AND('Mapa final'!$Y$47="Media",'Mapa final'!$AA$47="Menor"),CONCATENATE("R7C",'Mapa final'!$O$47),"")</f>
        <v/>
      </c>
      <c r="R32" s="67" t="str">
        <f>IF(AND('Mapa final'!$Y$48="Media",'Mapa final'!$AA$48="Menor"),CONCATENATE("R7C",'Mapa final'!$O$48),"")</f>
        <v/>
      </c>
      <c r="S32" s="67" t="str">
        <f>IF(AND('Mapa final'!$Y$49="Media",'Mapa final'!$AA$49="Menor"),CONCATENATE("R7C",'Mapa final'!$O$49),"")</f>
        <v/>
      </c>
      <c r="T32" s="67" t="str">
        <f>IF(AND('Mapa final'!$Y$50="Media",'Mapa final'!$AA$50="Menor"),CONCATENATE("R7C",'Mapa final'!$O$50),"")</f>
        <v/>
      </c>
      <c r="U32" s="68" t="str">
        <f>IF(AND('Mapa final'!$Y$51="Media",'Mapa final'!$AA$51="Menor"),CONCATENATE("R7C",'Mapa final'!$O$51),"")</f>
        <v/>
      </c>
      <c r="V32" s="66" t="str">
        <f>IF(AND('Mapa final'!$Y$46="Media",'Mapa final'!$AA$46="Moderado"),CONCATENATE("R7C",'Mapa final'!$O$46),"")</f>
        <v/>
      </c>
      <c r="W32" s="67" t="str">
        <f>IF(AND('Mapa final'!$Y$47="Media",'Mapa final'!$AA$47="Moderado"),CONCATENATE("R7C",'Mapa final'!$O$47),"")</f>
        <v/>
      </c>
      <c r="X32" s="67" t="str">
        <f>IF(AND('Mapa final'!$Y$48="Media",'Mapa final'!$AA$48="Moderado"),CONCATENATE("R7C",'Mapa final'!$O$48),"")</f>
        <v/>
      </c>
      <c r="Y32" s="67" t="str">
        <f>IF(AND('Mapa final'!$Y$49="Media",'Mapa final'!$AA$49="Moderado"),CONCATENATE("R7C",'Mapa final'!$O$49),"")</f>
        <v/>
      </c>
      <c r="Z32" s="67" t="str">
        <f>IF(AND('Mapa final'!$Y$50="Media",'Mapa final'!$AA$50="Moderado"),CONCATENATE("R7C",'Mapa final'!$O$50),"")</f>
        <v/>
      </c>
      <c r="AA32" s="68" t="str">
        <f>IF(AND('Mapa final'!$Y$51="Media",'Mapa final'!$AA$51="Moderado"),CONCATENATE("R7C",'Mapa final'!$O$51),"")</f>
        <v/>
      </c>
      <c r="AB32" s="51" t="str">
        <f>IF(AND('Mapa final'!$Y$46="Media",'Mapa final'!$AA$46="Mayor"),CONCATENATE("R7C",'Mapa final'!$O$46),"")</f>
        <v/>
      </c>
      <c r="AC32" s="52" t="str">
        <f>IF(AND('Mapa final'!$Y$47="Media",'Mapa final'!$AA$47="Mayor"),CONCATENATE("R7C",'Mapa final'!$O$47),"")</f>
        <v/>
      </c>
      <c r="AD32" s="52" t="str">
        <f>IF(AND('Mapa final'!$Y$48="Media",'Mapa final'!$AA$48="Mayor"),CONCATENATE("R7C",'Mapa final'!$O$48),"")</f>
        <v/>
      </c>
      <c r="AE32" s="52" t="str">
        <f>IF(AND('Mapa final'!$Y$49="Media",'Mapa final'!$AA$49="Mayor"),CONCATENATE("R7C",'Mapa final'!$O$49),"")</f>
        <v/>
      </c>
      <c r="AF32" s="52" t="str">
        <f>IF(AND('Mapa final'!$Y$50="Media",'Mapa final'!$AA$50="Mayor"),CONCATENATE("R7C",'Mapa final'!$O$50),"")</f>
        <v/>
      </c>
      <c r="AG32" s="53" t="str">
        <f>IF(AND('Mapa final'!$Y$51="Media",'Mapa final'!$AA$51="Mayor"),CONCATENATE("R7C",'Mapa final'!$O$51),"")</f>
        <v/>
      </c>
      <c r="AH32" s="54" t="str">
        <f>IF(AND('Mapa final'!$Y$46="Media",'Mapa final'!$AA$46="Catastrófico"),CONCATENATE("R7C",'Mapa final'!$O$46),"")</f>
        <v/>
      </c>
      <c r="AI32" s="55" t="str">
        <f>IF(AND('Mapa final'!$Y$47="Media",'Mapa final'!$AA$47="Catastrófico"),CONCATENATE("R7C",'Mapa final'!$O$47),"")</f>
        <v/>
      </c>
      <c r="AJ32" s="55" t="str">
        <f>IF(AND('Mapa final'!$Y$48="Media",'Mapa final'!$AA$48="Catastrófico"),CONCATENATE("R7C",'Mapa final'!$O$48),"")</f>
        <v/>
      </c>
      <c r="AK32" s="55" t="str">
        <f>IF(AND('Mapa final'!$Y$49="Media",'Mapa final'!$AA$49="Catastrófico"),CONCATENATE("R7C",'Mapa final'!$O$49),"")</f>
        <v/>
      </c>
      <c r="AL32" s="55" t="str">
        <f>IF(AND('Mapa final'!$Y$50="Media",'Mapa final'!$AA$50="Catastrófico"),CONCATENATE("R7C",'Mapa final'!$O$50),"")</f>
        <v/>
      </c>
      <c r="AM32" s="56" t="str">
        <f>IF(AND('Mapa final'!$Y$51="Media",'Mapa final'!$AA$51="Catastrófico"),CONCATENATE("R7C",'Mapa final'!$O$51),"")</f>
        <v/>
      </c>
      <c r="AN32" s="82"/>
      <c r="AO32" s="424"/>
      <c r="AP32" s="425"/>
      <c r="AQ32" s="425"/>
      <c r="AR32" s="425"/>
      <c r="AS32" s="425"/>
      <c r="AT32" s="42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343"/>
      <c r="C33" s="343"/>
      <c r="D33" s="344"/>
      <c r="E33" s="384"/>
      <c r="F33" s="385"/>
      <c r="G33" s="385"/>
      <c r="H33" s="385"/>
      <c r="I33" s="386"/>
      <c r="J33" s="66" t="str">
        <f>IF(AND('Mapa final'!$Y$52="Media",'Mapa final'!$AA$52="Leve"),CONCATENATE("R8C",'Mapa final'!$O$52),"")</f>
        <v/>
      </c>
      <c r="K33" s="67" t="str">
        <f>IF(AND('Mapa final'!$Y$53="Media",'Mapa final'!$AA$53="Leve"),CONCATENATE("R8C",'Mapa final'!$O$53),"")</f>
        <v/>
      </c>
      <c r="L33" s="67" t="str">
        <f>IF(AND('Mapa final'!$Y$54="Media",'Mapa final'!$AA$54="Leve"),CONCATENATE("R8C",'Mapa final'!$O$54),"")</f>
        <v/>
      </c>
      <c r="M33" s="67" t="str">
        <f>IF(AND('Mapa final'!$Y$55="Media",'Mapa final'!$AA$55="Leve"),CONCATENATE("R8C",'Mapa final'!$O$55),"")</f>
        <v/>
      </c>
      <c r="N33" s="67" t="str">
        <f>IF(AND('Mapa final'!$Y$56="Media",'Mapa final'!$AA$56="Leve"),CONCATENATE("R8C",'Mapa final'!$O$56),"")</f>
        <v/>
      </c>
      <c r="O33" s="68" t="str">
        <f>IF(AND('Mapa final'!$Y$57="Media",'Mapa final'!$AA$57="Leve"),CONCATENATE("R8C",'Mapa final'!$O$57),"")</f>
        <v/>
      </c>
      <c r="P33" s="66" t="str">
        <f>IF(AND('Mapa final'!$Y$52="Media",'Mapa final'!$AA$52="Menor"),CONCATENATE("R8C",'Mapa final'!$O$52),"")</f>
        <v/>
      </c>
      <c r="Q33" s="67" t="str">
        <f>IF(AND('Mapa final'!$Y$53="Media",'Mapa final'!$AA$53="Menor"),CONCATENATE("R8C",'Mapa final'!$O$53),"")</f>
        <v/>
      </c>
      <c r="R33" s="67" t="str">
        <f>IF(AND('Mapa final'!$Y$54="Media",'Mapa final'!$AA$54="Menor"),CONCATENATE("R8C",'Mapa final'!$O$54),"")</f>
        <v/>
      </c>
      <c r="S33" s="67" t="str">
        <f>IF(AND('Mapa final'!$Y$55="Media",'Mapa final'!$AA$55="Menor"),CONCATENATE("R8C",'Mapa final'!$O$55),"")</f>
        <v/>
      </c>
      <c r="T33" s="67" t="str">
        <f>IF(AND('Mapa final'!$Y$56="Media",'Mapa final'!$AA$56="Menor"),CONCATENATE("R8C",'Mapa final'!$O$56),"")</f>
        <v/>
      </c>
      <c r="U33" s="68" t="str">
        <f>IF(AND('Mapa final'!$Y$57="Media",'Mapa final'!$AA$57="Menor"),CONCATENATE("R8C",'Mapa final'!$O$57),"")</f>
        <v/>
      </c>
      <c r="V33" s="66" t="str">
        <f>IF(AND('Mapa final'!$Y$52="Media",'Mapa final'!$AA$52="Moderado"),CONCATENATE("R8C",'Mapa final'!$O$52),"")</f>
        <v/>
      </c>
      <c r="W33" s="67" t="str">
        <f>IF(AND('Mapa final'!$Y$53="Media",'Mapa final'!$AA$53="Moderado"),CONCATENATE("R8C",'Mapa final'!$O$53),"")</f>
        <v/>
      </c>
      <c r="X33" s="67" t="str">
        <f>IF(AND('Mapa final'!$Y$54="Media",'Mapa final'!$AA$54="Moderado"),CONCATENATE("R8C",'Mapa final'!$O$54),"")</f>
        <v/>
      </c>
      <c r="Y33" s="67" t="str">
        <f>IF(AND('Mapa final'!$Y$55="Media",'Mapa final'!$AA$55="Moderado"),CONCATENATE("R8C",'Mapa final'!$O$55),"")</f>
        <v/>
      </c>
      <c r="Z33" s="67" t="str">
        <f>IF(AND('Mapa final'!$Y$56="Media",'Mapa final'!$AA$56="Moderado"),CONCATENATE("R8C",'Mapa final'!$O$56),"")</f>
        <v/>
      </c>
      <c r="AA33" s="68" t="str">
        <f>IF(AND('Mapa final'!$Y$57="Media",'Mapa final'!$AA$57="Moderado"),CONCATENATE("R8C",'Mapa final'!$O$57),"")</f>
        <v/>
      </c>
      <c r="AB33" s="51" t="str">
        <f>IF(AND('Mapa final'!$Y$52="Media",'Mapa final'!$AA$52="Mayor"),CONCATENATE("R8C",'Mapa final'!$O$52),"")</f>
        <v/>
      </c>
      <c r="AC33" s="52" t="str">
        <f>IF(AND('Mapa final'!$Y$53="Media",'Mapa final'!$AA$53="Mayor"),CONCATENATE("R8C",'Mapa final'!$O$53),"")</f>
        <v/>
      </c>
      <c r="AD33" s="52" t="str">
        <f>IF(AND('Mapa final'!$Y$54="Media",'Mapa final'!$AA$54="Mayor"),CONCATENATE("R8C",'Mapa final'!$O$54),"")</f>
        <v/>
      </c>
      <c r="AE33" s="52" t="str">
        <f>IF(AND('Mapa final'!$Y$55="Media",'Mapa final'!$AA$55="Mayor"),CONCATENATE("R8C",'Mapa final'!$O$55),"")</f>
        <v/>
      </c>
      <c r="AF33" s="52" t="str">
        <f>IF(AND('Mapa final'!$Y$56="Media",'Mapa final'!$AA$56="Mayor"),CONCATENATE("R8C",'Mapa final'!$O$56),"")</f>
        <v/>
      </c>
      <c r="AG33" s="53" t="str">
        <f>IF(AND('Mapa final'!$Y$57="Media",'Mapa final'!$AA$57="Mayor"),CONCATENATE("R8C",'Mapa final'!$O$57),"")</f>
        <v/>
      </c>
      <c r="AH33" s="54" t="str">
        <f>IF(AND('Mapa final'!$Y$52="Media",'Mapa final'!$AA$52="Catastrófico"),CONCATENATE("R8C",'Mapa final'!$O$52),"")</f>
        <v/>
      </c>
      <c r="AI33" s="55" t="str">
        <f>IF(AND('Mapa final'!$Y$53="Media",'Mapa final'!$AA$53="Catastrófico"),CONCATENATE("R8C",'Mapa final'!$O$53),"")</f>
        <v/>
      </c>
      <c r="AJ33" s="55" t="str">
        <f>IF(AND('Mapa final'!$Y$54="Media",'Mapa final'!$AA$54="Catastrófico"),CONCATENATE("R8C",'Mapa final'!$O$54),"")</f>
        <v/>
      </c>
      <c r="AK33" s="55" t="str">
        <f>IF(AND('Mapa final'!$Y$55="Media",'Mapa final'!$AA$55="Catastrófico"),CONCATENATE("R8C",'Mapa final'!$O$55),"")</f>
        <v/>
      </c>
      <c r="AL33" s="55" t="str">
        <f>IF(AND('Mapa final'!$Y$56="Media",'Mapa final'!$AA$56="Catastrófico"),CONCATENATE("R8C",'Mapa final'!$O$56),"")</f>
        <v/>
      </c>
      <c r="AM33" s="56" t="str">
        <f>IF(AND('Mapa final'!$Y$57="Media",'Mapa final'!$AA$57="Catastrófico"),CONCATENATE("R8C",'Mapa final'!$O$57),"")</f>
        <v/>
      </c>
      <c r="AN33" s="82"/>
      <c r="AO33" s="424"/>
      <c r="AP33" s="425"/>
      <c r="AQ33" s="425"/>
      <c r="AR33" s="425"/>
      <c r="AS33" s="425"/>
      <c r="AT33" s="42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343"/>
      <c r="C34" s="343"/>
      <c r="D34" s="344"/>
      <c r="E34" s="384"/>
      <c r="F34" s="385"/>
      <c r="G34" s="385"/>
      <c r="H34" s="385"/>
      <c r="I34" s="386"/>
      <c r="J34" s="66" t="str">
        <f>IF(AND('Mapa final'!$Y$58="Media",'Mapa final'!$AA$58="Leve"),CONCATENATE("R9C",'Mapa final'!$O$58),"")</f>
        <v/>
      </c>
      <c r="K34" s="67" t="str">
        <f>IF(AND('Mapa final'!$Y$59="Media",'Mapa final'!$AA$59="Leve"),CONCATENATE("R9C",'Mapa final'!$O$59),"")</f>
        <v/>
      </c>
      <c r="L34" s="67" t="str">
        <f>IF(AND('Mapa final'!$Y$60="Media",'Mapa final'!$AA$60="Leve"),CONCATENATE("R9C",'Mapa final'!$O$60),"")</f>
        <v/>
      </c>
      <c r="M34" s="67" t="str">
        <f>IF(AND('Mapa final'!$Y$61="Media",'Mapa final'!$AA$61="Leve"),CONCATENATE("R9C",'Mapa final'!$O$61),"")</f>
        <v/>
      </c>
      <c r="N34" s="67" t="str">
        <f>IF(AND('Mapa final'!$Y$62="Media",'Mapa final'!$AA$62="Leve"),CONCATENATE("R9C",'Mapa final'!$O$62),"")</f>
        <v/>
      </c>
      <c r="O34" s="68" t="str">
        <f>IF(AND('Mapa final'!$Y$63="Media",'Mapa final'!$AA$63="Leve"),CONCATENATE("R9C",'Mapa final'!$O$63),"")</f>
        <v/>
      </c>
      <c r="P34" s="66" t="str">
        <f>IF(AND('Mapa final'!$Y$58="Media",'Mapa final'!$AA$58="Menor"),CONCATENATE("R9C",'Mapa final'!$O$58),"")</f>
        <v/>
      </c>
      <c r="Q34" s="67" t="str">
        <f>IF(AND('Mapa final'!$Y$59="Media",'Mapa final'!$AA$59="Menor"),CONCATENATE("R9C",'Mapa final'!$O$59),"")</f>
        <v/>
      </c>
      <c r="R34" s="67" t="str">
        <f>IF(AND('Mapa final'!$Y$60="Media",'Mapa final'!$AA$60="Menor"),CONCATENATE("R9C",'Mapa final'!$O$60),"")</f>
        <v/>
      </c>
      <c r="S34" s="67" t="str">
        <f>IF(AND('Mapa final'!$Y$61="Media",'Mapa final'!$AA$61="Menor"),CONCATENATE("R9C",'Mapa final'!$O$61),"")</f>
        <v/>
      </c>
      <c r="T34" s="67" t="str">
        <f>IF(AND('Mapa final'!$Y$62="Media",'Mapa final'!$AA$62="Menor"),CONCATENATE("R9C",'Mapa final'!$O$62),"")</f>
        <v/>
      </c>
      <c r="U34" s="68" t="str">
        <f>IF(AND('Mapa final'!$Y$63="Media",'Mapa final'!$AA$63="Menor"),CONCATENATE("R9C",'Mapa final'!$O$63),"")</f>
        <v/>
      </c>
      <c r="V34" s="66" t="str">
        <f>IF(AND('Mapa final'!$Y$58="Media",'Mapa final'!$AA$58="Moderado"),CONCATENATE("R9C",'Mapa final'!$O$58),"")</f>
        <v/>
      </c>
      <c r="W34" s="67" t="str">
        <f>IF(AND('Mapa final'!$Y$59="Media",'Mapa final'!$AA$59="Moderado"),CONCATENATE("R9C",'Mapa final'!$O$59),"")</f>
        <v/>
      </c>
      <c r="X34" s="67" t="str">
        <f>IF(AND('Mapa final'!$Y$60="Media",'Mapa final'!$AA$60="Moderado"),CONCATENATE("R9C",'Mapa final'!$O$60),"")</f>
        <v/>
      </c>
      <c r="Y34" s="67" t="str">
        <f>IF(AND('Mapa final'!$Y$61="Media",'Mapa final'!$AA$61="Moderado"),CONCATENATE("R9C",'Mapa final'!$O$61),"")</f>
        <v/>
      </c>
      <c r="Z34" s="67" t="str">
        <f>IF(AND('Mapa final'!$Y$62="Media",'Mapa final'!$AA$62="Moderado"),CONCATENATE("R9C",'Mapa final'!$O$62),"")</f>
        <v/>
      </c>
      <c r="AA34" s="68" t="str">
        <f>IF(AND('Mapa final'!$Y$63="Media",'Mapa final'!$AA$63="Moderado"),CONCATENATE("R9C",'Mapa final'!$O$63),"")</f>
        <v/>
      </c>
      <c r="AB34" s="51" t="str">
        <f>IF(AND('Mapa final'!$Y$58="Media",'Mapa final'!$AA$58="Mayor"),CONCATENATE("R9C",'Mapa final'!$O$58),"")</f>
        <v/>
      </c>
      <c r="AC34" s="52" t="str">
        <f>IF(AND('Mapa final'!$Y$59="Media",'Mapa final'!$AA$59="Mayor"),CONCATENATE("R9C",'Mapa final'!$O$59),"")</f>
        <v/>
      </c>
      <c r="AD34" s="52" t="str">
        <f>IF(AND('Mapa final'!$Y$60="Media",'Mapa final'!$AA$60="Mayor"),CONCATENATE("R9C",'Mapa final'!$O$60),"")</f>
        <v/>
      </c>
      <c r="AE34" s="52" t="str">
        <f>IF(AND('Mapa final'!$Y$61="Media",'Mapa final'!$AA$61="Mayor"),CONCATENATE("R9C",'Mapa final'!$O$61),"")</f>
        <v/>
      </c>
      <c r="AF34" s="52" t="str">
        <f>IF(AND('Mapa final'!$Y$62="Media",'Mapa final'!$AA$62="Mayor"),CONCATENATE("R9C",'Mapa final'!$O$62),"")</f>
        <v/>
      </c>
      <c r="AG34" s="53" t="str">
        <f>IF(AND('Mapa final'!$Y$63="Media",'Mapa final'!$AA$63="Mayor"),CONCATENATE("R9C",'Mapa final'!$O$63),"")</f>
        <v/>
      </c>
      <c r="AH34" s="54" t="str">
        <f>IF(AND('Mapa final'!$Y$58="Media",'Mapa final'!$AA$58="Catastrófico"),CONCATENATE("R9C",'Mapa final'!$O$58),"")</f>
        <v/>
      </c>
      <c r="AI34" s="55" t="str">
        <f>IF(AND('Mapa final'!$Y$59="Media",'Mapa final'!$AA$59="Catastrófico"),CONCATENATE("R9C",'Mapa final'!$O$59),"")</f>
        <v/>
      </c>
      <c r="AJ34" s="55" t="str">
        <f>IF(AND('Mapa final'!$Y$60="Media",'Mapa final'!$AA$60="Catastrófico"),CONCATENATE("R9C",'Mapa final'!$O$60),"")</f>
        <v/>
      </c>
      <c r="AK34" s="55" t="str">
        <f>IF(AND('Mapa final'!$Y$61="Media",'Mapa final'!$AA$61="Catastrófico"),CONCATENATE("R9C",'Mapa final'!$O$61),"")</f>
        <v/>
      </c>
      <c r="AL34" s="55" t="str">
        <f>IF(AND('Mapa final'!$Y$62="Media",'Mapa final'!$AA$62="Catastrófico"),CONCATENATE("R9C",'Mapa final'!$O$62),"")</f>
        <v/>
      </c>
      <c r="AM34" s="56" t="str">
        <f>IF(AND('Mapa final'!$Y$63="Media",'Mapa final'!$AA$63="Catastrófico"),CONCATENATE("R9C",'Mapa final'!$O$63),"")</f>
        <v/>
      </c>
      <c r="AN34" s="82"/>
      <c r="AO34" s="424"/>
      <c r="AP34" s="425"/>
      <c r="AQ34" s="425"/>
      <c r="AR34" s="425"/>
      <c r="AS34" s="425"/>
      <c r="AT34" s="42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343"/>
      <c r="C35" s="343"/>
      <c r="D35" s="344"/>
      <c r="E35" s="387"/>
      <c r="F35" s="388"/>
      <c r="G35" s="388"/>
      <c r="H35" s="388"/>
      <c r="I35" s="389"/>
      <c r="J35" s="66" t="str">
        <f>IF(AND('Mapa final'!$Y$64="Media",'Mapa final'!$AA$64="Leve"),CONCATENATE("R10C",'Mapa final'!$O$64),"")</f>
        <v/>
      </c>
      <c r="K35" s="67" t="str">
        <f>IF(AND('Mapa final'!$Y$65="Media",'Mapa final'!$AA$65="Leve"),CONCATENATE("R10C",'Mapa final'!$O$65),"")</f>
        <v/>
      </c>
      <c r="L35" s="67" t="str">
        <f>IF(AND('Mapa final'!$Y$66="Media",'Mapa final'!$AA$66="Leve"),CONCATENATE("R10C",'Mapa final'!$O$66),"")</f>
        <v/>
      </c>
      <c r="M35" s="67" t="str">
        <f>IF(AND('Mapa final'!$Y$67="Media",'Mapa final'!$AA$67="Leve"),CONCATENATE("R10C",'Mapa final'!$O$67),"")</f>
        <v/>
      </c>
      <c r="N35" s="67" t="str">
        <f>IF(AND('Mapa final'!$Y$68="Media",'Mapa final'!$AA$68="Leve"),CONCATENATE("R10C",'Mapa final'!$O$68),"")</f>
        <v/>
      </c>
      <c r="O35" s="68" t="str">
        <f>IF(AND('Mapa final'!$Y$69="Media",'Mapa final'!$AA$69="Leve"),CONCATENATE("R10C",'Mapa final'!$O$69),"")</f>
        <v/>
      </c>
      <c r="P35" s="66" t="str">
        <f>IF(AND('Mapa final'!$Y$64="Media",'Mapa final'!$AA$64="Menor"),CONCATENATE("R10C",'Mapa final'!$O$64),"")</f>
        <v/>
      </c>
      <c r="Q35" s="67" t="str">
        <f>IF(AND('Mapa final'!$Y$65="Media",'Mapa final'!$AA$65="Menor"),CONCATENATE("R10C",'Mapa final'!$O$65),"")</f>
        <v/>
      </c>
      <c r="R35" s="67" t="str">
        <f>IF(AND('Mapa final'!$Y$66="Media",'Mapa final'!$AA$66="Menor"),CONCATENATE("R10C",'Mapa final'!$O$66),"")</f>
        <v/>
      </c>
      <c r="S35" s="67" t="str">
        <f>IF(AND('Mapa final'!$Y$67="Media",'Mapa final'!$AA$67="Menor"),CONCATENATE("R10C",'Mapa final'!$O$67),"")</f>
        <v/>
      </c>
      <c r="T35" s="67" t="str">
        <f>IF(AND('Mapa final'!$Y$68="Media",'Mapa final'!$AA$68="Menor"),CONCATENATE("R10C",'Mapa final'!$O$68),"")</f>
        <v/>
      </c>
      <c r="U35" s="68" t="str">
        <f>IF(AND('Mapa final'!$Y$69="Media",'Mapa final'!$AA$69="Menor"),CONCATENATE("R10C",'Mapa final'!$O$69),"")</f>
        <v/>
      </c>
      <c r="V35" s="66" t="str">
        <f>IF(AND('Mapa final'!$Y$64="Media",'Mapa final'!$AA$64="Moderado"),CONCATENATE("R10C",'Mapa final'!$O$64),"")</f>
        <v/>
      </c>
      <c r="W35" s="67" t="str">
        <f>IF(AND('Mapa final'!$Y$65="Media",'Mapa final'!$AA$65="Moderado"),CONCATENATE("R10C",'Mapa final'!$O$65),"")</f>
        <v/>
      </c>
      <c r="X35" s="67" t="str">
        <f>IF(AND('Mapa final'!$Y$66="Media",'Mapa final'!$AA$66="Moderado"),CONCATENATE("R10C",'Mapa final'!$O$66),"")</f>
        <v/>
      </c>
      <c r="Y35" s="67" t="str">
        <f>IF(AND('Mapa final'!$Y$67="Media",'Mapa final'!$AA$67="Moderado"),CONCATENATE("R10C",'Mapa final'!$O$67),"")</f>
        <v/>
      </c>
      <c r="Z35" s="67" t="str">
        <f>IF(AND('Mapa final'!$Y$68="Media",'Mapa final'!$AA$68="Moderado"),CONCATENATE("R10C",'Mapa final'!$O$68),"")</f>
        <v/>
      </c>
      <c r="AA35" s="68" t="str">
        <f>IF(AND('Mapa final'!$Y$69="Media",'Mapa final'!$AA$69="Moderado"),CONCATENATE("R10C",'Mapa final'!$O$69),"")</f>
        <v/>
      </c>
      <c r="AB35" s="57" t="str">
        <f>IF(AND('Mapa final'!$Y$64="Media",'Mapa final'!$AA$64="Mayor"),CONCATENATE("R10C",'Mapa final'!$O$64),"")</f>
        <v/>
      </c>
      <c r="AC35" s="58" t="str">
        <f>IF(AND('Mapa final'!$Y$65="Media",'Mapa final'!$AA$65="Mayor"),CONCATENATE("R10C",'Mapa final'!$O$65),"")</f>
        <v/>
      </c>
      <c r="AD35" s="58" t="str">
        <f>IF(AND('Mapa final'!$Y$66="Media",'Mapa final'!$AA$66="Mayor"),CONCATENATE("R10C",'Mapa final'!$O$66),"")</f>
        <v/>
      </c>
      <c r="AE35" s="58" t="str">
        <f>IF(AND('Mapa final'!$Y$67="Media",'Mapa final'!$AA$67="Mayor"),CONCATENATE("R10C",'Mapa final'!$O$67),"")</f>
        <v/>
      </c>
      <c r="AF35" s="58" t="str">
        <f>IF(AND('Mapa final'!$Y$68="Media",'Mapa final'!$AA$68="Mayor"),CONCATENATE("R10C",'Mapa final'!$O$68),"")</f>
        <v/>
      </c>
      <c r="AG35" s="59" t="str">
        <f>IF(AND('Mapa final'!$Y$69="Media",'Mapa final'!$AA$69="Mayor"),CONCATENATE("R10C",'Mapa final'!$O$69),"")</f>
        <v/>
      </c>
      <c r="AH35" s="60" t="str">
        <f>IF(AND('Mapa final'!$Y$64="Media",'Mapa final'!$AA$64="Catastrófico"),CONCATENATE("R10C",'Mapa final'!$O$64),"")</f>
        <v/>
      </c>
      <c r="AI35" s="61" t="str">
        <f>IF(AND('Mapa final'!$Y$65="Media",'Mapa final'!$AA$65="Catastrófico"),CONCATENATE("R10C",'Mapa final'!$O$65),"")</f>
        <v/>
      </c>
      <c r="AJ35" s="61" t="str">
        <f>IF(AND('Mapa final'!$Y$66="Media",'Mapa final'!$AA$66="Catastrófico"),CONCATENATE("R10C",'Mapa final'!$O$66),"")</f>
        <v/>
      </c>
      <c r="AK35" s="61" t="str">
        <f>IF(AND('Mapa final'!$Y$67="Media",'Mapa final'!$AA$67="Catastrófico"),CONCATENATE("R10C",'Mapa final'!$O$67),"")</f>
        <v/>
      </c>
      <c r="AL35" s="61" t="str">
        <f>IF(AND('Mapa final'!$Y$68="Media",'Mapa final'!$AA$68="Catastrófico"),CONCATENATE("R10C",'Mapa final'!$O$68),"")</f>
        <v/>
      </c>
      <c r="AM35" s="62" t="str">
        <f>IF(AND('Mapa final'!$Y$69="Media",'Mapa final'!$AA$69="Catastrófico"),CONCATENATE("R10C",'Mapa final'!$O$69),"")</f>
        <v/>
      </c>
      <c r="AN35" s="82"/>
      <c r="AO35" s="427"/>
      <c r="AP35" s="428"/>
      <c r="AQ35" s="428"/>
      <c r="AR35" s="428"/>
      <c r="AS35" s="428"/>
      <c r="AT35" s="429"/>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343"/>
      <c r="C36" s="343"/>
      <c r="D36" s="344"/>
      <c r="E36" s="381" t="s">
        <v>113</v>
      </c>
      <c r="F36" s="382"/>
      <c r="G36" s="382"/>
      <c r="H36" s="382"/>
      <c r="I36" s="382"/>
      <c r="J36" s="72" t="str">
        <f>IF(AND('Mapa final'!$Y$10="Baja",'Mapa final'!$AA$10="Leve"),CONCATENATE("R1C",'Mapa final'!$O$10),"")</f>
        <v/>
      </c>
      <c r="K36" s="73" t="str">
        <f>IF(AND('Mapa final'!$Y$11="Baja",'Mapa final'!$AA$11="Leve"),CONCATENATE("R1C",'Mapa final'!$O$11),"")</f>
        <v/>
      </c>
      <c r="L36" s="73" t="str">
        <f>IF(AND('Mapa final'!$Y$12="Baja",'Mapa final'!$AA$12="Leve"),CONCATENATE("R1C",'Mapa final'!$O$12),"")</f>
        <v/>
      </c>
      <c r="M36" s="73" t="str">
        <f>IF(AND('Mapa final'!$Y$13="Baja",'Mapa final'!$AA$13="Leve"),CONCATENATE("R1C",'Mapa final'!$O$13),"")</f>
        <v/>
      </c>
      <c r="N36" s="73" t="str">
        <f>IF(AND('Mapa final'!$Y$14="Baja",'Mapa final'!$AA$14="Leve"),CONCATENATE("R1C",'Mapa final'!$O$14),"")</f>
        <v/>
      </c>
      <c r="O36" s="74" t="str">
        <f>IF(AND('Mapa final'!$Y$15="Baja",'Mapa final'!$AA$15="Leve"),CONCATENATE("R1C",'Mapa final'!$O$15),"")</f>
        <v/>
      </c>
      <c r="P36" s="63" t="str">
        <f>IF(AND('Mapa final'!$Y$10="Baja",'Mapa final'!$AA$10="Menor"),CONCATENATE("R1C",'Mapa final'!$O$10),"")</f>
        <v/>
      </c>
      <c r="Q36" s="64" t="str">
        <f>IF(AND('Mapa final'!$Y$11="Baja",'Mapa final'!$AA$11="Menor"),CONCATENATE("R1C",'Mapa final'!$O$11),"")</f>
        <v/>
      </c>
      <c r="R36" s="64" t="str">
        <f>IF(AND('Mapa final'!$Y$12="Baja",'Mapa final'!$AA$12="Menor"),CONCATENATE("R1C",'Mapa final'!$O$12),"")</f>
        <v/>
      </c>
      <c r="S36" s="64" t="str">
        <f>IF(AND('Mapa final'!$Y$13="Baja",'Mapa final'!$AA$13="Menor"),CONCATENATE("R1C",'Mapa final'!$O$13),"")</f>
        <v/>
      </c>
      <c r="T36" s="64" t="str">
        <f>IF(AND('Mapa final'!$Y$14="Baja",'Mapa final'!$AA$14="Menor"),CONCATENATE("R1C",'Mapa final'!$O$14),"")</f>
        <v/>
      </c>
      <c r="U36" s="65" t="str">
        <f>IF(AND('Mapa final'!$Y$15="Baja",'Mapa final'!$AA$15="Menor"),CONCATENATE("R1C",'Mapa final'!$O$15),"")</f>
        <v/>
      </c>
      <c r="V36" s="63" t="str">
        <f>IF(AND('Mapa final'!$Y$10="Baja",'Mapa final'!$AA$10="Moderado"),CONCATENATE("R1C",'Mapa final'!$O$10),"")</f>
        <v/>
      </c>
      <c r="W36" s="64" t="str">
        <f>IF(AND('Mapa final'!$Y$11="Baja",'Mapa final'!$AA$11="Moderado"),CONCATENATE("R1C",'Mapa final'!$O$11),"")</f>
        <v/>
      </c>
      <c r="X36" s="64" t="str">
        <f>IF(AND('Mapa final'!$Y$12="Baja",'Mapa final'!$AA$12="Moderado"),CONCATENATE("R1C",'Mapa final'!$O$12),"")</f>
        <v/>
      </c>
      <c r="Y36" s="64" t="str">
        <f>IF(AND('Mapa final'!$Y$13="Baja",'Mapa final'!$AA$13="Moderado"),CONCATENATE("R1C",'Mapa final'!$O$13),"")</f>
        <v/>
      </c>
      <c r="Z36" s="64" t="str">
        <f>IF(AND('Mapa final'!$Y$14="Baja",'Mapa final'!$AA$14="Moderado"),CONCATENATE("R1C",'Mapa final'!$O$14),"")</f>
        <v/>
      </c>
      <c r="AA36" s="65" t="str">
        <f>IF(AND('Mapa final'!$Y$15="Baja",'Mapa final'!$AA$15="Moderado"),CONCATENATE("R1C",'Mapa final'!$O$15),"")</f>
        <v/>
      </c>
      <c r="AB36" s="45" t="str">
        <f>IF(AND('Mapa final'!$Y$10="Baja",'Mapa final'!$AA$10="Mayor"),CONCATENATE("R1C",'Mapa final'!$O$10),"")</f>
        <v/>
      </c>
      <c r="AC36" s="46" t="str">
        <f>IF(AND('Mapa final'!$Y$11="Baja",'Mapa final'!$AA$11="Mayor"),CONCATENATE("R1C",'Mapa final'!$O$11),"")</f>
        <v/>
      </c>
      <c r="AD36" s="46" t="str">
        <f>IF(AND('Mapa final'!$Y$12="Baja",'Mapa final'!$AA$12="Mayor"),CONCATENATE("R1C",'Mapa final'!$O$12),"")</f>
        <v/>
      </c>
      <c r="AE36" s="46" t="str">
        <f>IF(AND('Mapa final'!$Y$13="Baja",'Mapa final'!$AA$13="Mayor"),CONCATENATE("R1C",'Mapa final'!$O$13),"")</f>
        <v/>
      </c>
      <c r="AF36" s="46" t="str">
        <f>IF(AND('Mapa final'!$Y$14="Baja",'Mapa final'!$AA$14="Mayor"),CONCATENATE("R1C",'Mapa final'!$O$14),"")</f>
        <v/>
      </c>
      <c r="AG36" s="47" t="str">
        <f>IF(AND('Mapa final'!$Y$15="Baja",'Mapa final'!$AA$15="Mayor"),CONCATENATE("R1C",'Mapa final'!$O$15),"")</f>
        <v/>
      </c>
      <c r="AH36" s="48" t="str">
        <f>IF(AND('Mapa final'!$Y$10="Baja",'Mapa final'!$AA$10="Catastrófico"),CONCATENATE("R1C",'Mapa final'!$O$10),"")</f>
        <v/>
      </c>
      <c r="AI36" s="49" t="str">
        <f>IF(AND('Mapa final'!$Y$11="Baja",'Mapa final'!$AA$11="Catastrófico"),CONCATENATE("R1C",'Mapa final'!$O$11),"")</f>
        <v/>
      </c>
      <c r="AJ36" s="49" t="str">
        <f>IF(AND('Mapa final'!$Y$12="Baja",'Mapa final'!$AA$12="Catastrófico"),CONCATENATE("R1C",'Mapa final'!$O$12),"")</f>
        <v/>
      </c>
      <c r="AK36" s="49" t="str">
        <f>IF(AND('Mapa final'!$Y$13="Baja",'Mapa final'!$AA$13="Catastrófico"),CONCATENATE("R1C",'Mapa final'!$O$13),"")</f>
        <v/>
      </c>
      <c r="AL36" s="49" t="str">
        <f>IF(AND('Mapa final'!$Y$14="Baja",'Mapa final'!$AA$14="Catastrófico"),CONCATENATE("R1C",'Mapa final'!$O$14),"")</f>
        <v/>
      </c>
      <c r="AM36" s="50" t="str">
        <f>IF(AND('Mapa final'!$Y$15="Baja",'Mapa final'!$AA$15="Catastrófico"),CONCATENATE("R1C",'Mapa final'!$O$15),"")</f>
        <v/>
      </c>
      <c r="AN36" s="82"/>
      <c r="AO36" s="412" t="s">
        <v>81</v>
      </c>
      <c r="AP36" s="413"/>
      <c r="AQ36" s="413"/>
      <c r="AR36" s="413"/>
      <c r="AS36" s="413"/>
      <c r="AT36" s="414"/>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343"/>
      <c r="C37" s="343"/>
      <c r="D37" s="344"/>
      <c r="E37" s="400"/>
      <c r="F37" s="385"/>
      <c r="G37" s="385"/>
      <c r="H37" s="385"/>
      <c r="I37" s="385"/>
      <c r="J37" s="75" t="str">
        <f>IF(AND('Mapa final'!$Y$16="Baja",'Mapa final'!$AA$16="Leve"),CONCATENATE("R2C",'Mapa final'!$O$16),"")</f>
        <v/>
      </c>
      <c r="K37" s="76" t="str">
        <f>IF(AND('Mapa final'!$Y$17="Baja",'Mapa final'!$AA$17="Leve"),CONCATENATE("R2C",'Mapa final'!$O$17),"")</f>
        <v/>
      </c>
      <c r="L37" s="76" t="str">
        <f>IF(AND('Mapa final'!$Y$18="Baja",'Mapa final'!$AA$18="Leve"),CONCATENATE("R2C",'Mapa final'!$O$18),"")</f>
        <v/>
      </c>
      <c r="M37" s="76" t="str">
        <f>IF(AND('Mapa final'!$Y$19="Baja",'Mapa final'!$AA$19="Leve"),CONCATENATE("R2C",'Mapa final'!$O$19),"")</f>
        <v/>
      </c>
      <c r="N37" s="76" t="str">
        <f>IF(AND('Mapa final'!$Y$20="Baja",'Mapa final'!$AA$20="Leve"),CONCATENATE("R2C",'Mapa final'!$O$20),"")</f>
        <v/>
      </c>
      <c r="O37" s="77" t="str">
        <f>IF(AND('Mapa final'!$Y$21="Baja",'Mapa final'!$AA$21="Leve"),CONCATENATE("R2C",'Mapa final'!$O$21),"")</f>
        <v/>
      </c>
      <c r="P37" s="66" t="str">
        <f>IF(AND('Mapa final'!$Y$16="Baja",'Mapa final'!$AA$16="Menor"),CONCATENATE("R2C",'Mapa final'!$O$16),"")</f>
        <v/>
      </c>
      <c r="Q37" s="67" t="str">
        <f>IF(AND('Mapa final'!$Y$17="Baja",'Mapa final'!$AA$17="Menor"),CONCATENATE("R2C",'Mapa final'!$O$17),"")</f>
        <v/>
      </c>
      <c r="R37" s="67" t="str">
        <f>IF(AND('Mapa final'!$Y$18="Baja",'Mapa final'!$AA$18="Menor"),CONCATENATE("R2C",'Mapa final'!$O$18),"")</f>
        <v/>
      </c>
      <c r="S37" s="67" t="str">
        <f>IF(AND('Mapa final'!$Y$19="Baja",'Mapa final'!$AA$19="Menor"),CONCATENATE("R2C",'Mapa final'!$O$19),"")</f>
        <v/>
      </c>
      <c r="T37" s="67" t="str">
        <f>IF(AND('Mapa final'!$Y$20="Baja",'Mapa final'!$AA$20="Menor"),CONCATENATE("R2C",'Mapa final'!$O$20),"")</f>
        <v/>
      </c>
      <c r="U37" s="68" t="str">
        <f>IF(AND('Mapa final'!$Y$21="Baja",'Mapa final'!$AA$21="Menor"),CONCATENATE("R2C",'Mapa final'!$O$21),"")</f>
        <v/>
      </c>
      <c r="V37" s="66" t="str">
        <f>IF(AND('Mapa final'!$Y$16="Baja",'Mapa final'!$AA$16="Moderado"),CONCATENATE("R2C",'Mapa final'!$O$16),"")</f>
        <v/>
      </c>
      <c r="W37" s="67" t="str">
        <f>IF(AND('Mapa final'!$Y$17="Baja",'Mapa final'!$AA$17="Moderado"),CONCATENATE("R2C",'Mapa final'!$O$17),"")</f>
        <v/>
      </c>
      <c r="X37" s="67" t="str">
        <f>IF(AND('Mapa final'!$Y$18="Baja",'Mapa final'!$AA$18="Moderado"),CONCATENATE("R2C",'Mapa final'!$O$18),"")</f>
        <v/>
      </c>
      <c r="Y37" s="67" t="str">
        <f>IF(AND('Mapa final'!$Y$19="Baja",'Mapa final'!$AA$19="Moderado"),CONCATENATE("R2C",'Mapa final'!$O$19),"")</f>
        <v/>
      </c>
      <c r="Z37" s="67" t="str">
        <f>IF(AND('Mapa final'!$Y$20="Baja",'Mapa final'!$AA$20="Moderado"),CONCATENATE("R2C",'Mapa final'!$O$20),"")</f>
        <v/>
      </c>
      <c r="AA37" s="68" t="str">
        <f>IF(AND('Mapa final'!$Y$21="Baja",'Mapa final'!$AA$21="Moderado"),CONCATENATE("R2C",'Mapa final'!$O$21),"")</f>
        <v/>
      </c>
      <c r="AB37" s="51" t="str">
        <f>IF(AND('Mapa final'!$Y$16="Baja",'Mapa final'!$AA$16="Mayor"),CONCATENATE("R2C",'Mapa final'!$O$16),"")</f>
        <v>R2C1</v>
      </c>
      <c r="AC37" s="52" t="str">
        <f>IF(AND('Mapa final'!$Y$17="Baja",'Mapa final'!$AA$17="Mayor"),CONCATENATE("R2C",'Mapa final'!$O$17),"")</f>
        <v/>
      </c>
      <c r="AD37" s="52" t="str">
        <f>IF(AND('Mapa final'!$Y$18="Baja",'Mapa final'!$AA$18="Mayor"),CONCATENATE("R2C",'Mapa final'!$O$18),"")</f>
        <v/>
      </c>
      <c r="AE37" s="52" t="str">
        <f>IF(AND('Mapa final'!$Y$19="Baja",'Mapa final'!$AA$19="Mayor"),CONCATENATE("R2C",'Mapa final'!$O$19),"")</f>
        <v/>
      </c>
      <c r="AF37" s="52" t="str">
        <f>IF(AND('Mapa final'!$Y$20="Baja",'Mapa final'!$AA$20="Mayor"),CONCATENATE("R2C",'Mapa final'!$O$20),"")</f>
        <v/>
      </c>
      <c r="AG37" s="53" t="str">
        <f>IF(AND('Mapa final'!$Y$21="Baja",'Mapa final'!$AA$21="Mayor"),CONCATENATE("R2C",'Mapa final'!$O$21),"")</f>
        <v/>
      </c>
      <c r="AH37" s="54" t="str">
        <f>IF(AND('Mapa final'!$Y$16="Baja",'Mapa final'!$AA$16="Catastrófico"),CONCATENATE("R2C",'Mapa final'!$O$16),"")</f>
        <v/>
      </c>
      <c r="AI37" s="55" t="str">
        <f>IF(AND('Mapa final'!$Y$17="Baja",'Mapa final'!$AA$17="Catastrófico"),CONCATENATE("R2C",'Mapa final'!$O$17),"")</f>
        <v/>
      </c>
      <c r="AJ37" s="55" t="str">
        <f>IF(AND('Mapa final'!$Y$18="Baja",'Mapa final'!$AA$18="Catastrófico"),CONCATENATE("R2C",'Mapa final'!$O$18),"")</f>
        <v/>
      </c>
      <c r="AK37" s="55" t="str">
        <f>IF(AND('Mapa final'!$Y$19="Baja",'Mapa final'!$AA$19="Catastrófico"),CONCATENATE("R2C",'Mapa final'!$O$19),"")</f>
        <v/>
      </c>
      <c r="AL37" s="55" t="str">
        <f>IF(AND('Mapa final'!$Y$20="Baja",'Mapa final'!$AA$20="Catastrófico"),CONCATENATE("R2C",'Mapa final'!$O$20),"")</f>
        <v/>
      </c>
      <c r="AM37" s="56" t="str">
        <f>IF(AND('Mapa final'!$Y$21="Baja",'Mapa final'!$AA$21="Catastrófico"),CONCATENATE("R2C",'Mapa final'!$O$21),"")</f>
        <v/>
      </c>
      <c r="AN37" s="82"/>
      <c r="AO37" s="415"/>
      <c r="AP37" s="416"/>
      <c r="AQ37" s="416"/>
      <c r="AR37" s="416"/>
      <c r="AS37" s="416"/>
      <c r="AT37" s="417"/>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343"/>
      <c r="C38" s="343"/>
      <c r="D38" s="344"/>
      <c r="E38" s="384"/>
      <c r="F38" s="385"/>
      <c r="G38" s="385"/>
      <c r="H38" s="385"/>
      <c r="I38" s="385"/>
      <c r="J38" s="75" t="str">
        <f>IF(AND('Mapa final'!$Y$22="Baja",'Mapa final'!$AA$22="Leve"),CONCATENATE("R3C",'Mapa final'!$O$22),"")</f>
        <v/>
      </c>
      <c r="K38" s="76" t="str">
        <f>IF(AND('Mapa final'!$Y$23="Baja",'Mapa final'!$AA$23="Leve"),CONCATENATE("R3C",'Mapa final'!$O$23),"")</f>
        <v/>
      </c>
      <c r="L38" s="76" t="str">
        <f>IF(AND('Mapa final'!$Y$24="Baja",'Mapa final'!$AA$24="Leve"),CONCATENATE("R3C",'Mapa final'!$O$24),"")</f>
        <v/>
      </c>
      <c r="M38" s="76" t="str">
        <f>IF(AND('Mapa final'!$Y$25="Baja",'Mapa final'!$AA$25="Leve"),CONCATENATE("R3C",'Mapa final'!$O$25),"")</f>
        <v/>
      </c>
      <c r="N38" s="76" t="str">
        <f>IF(AND('Mapa final'!$Y$26="Baja",'Mapa final'!$AA$26="Leve"),CONCATENATE("R3C",'Mapa final'!$O$26),"")</f>
        <v/>
      </c>
      <c r="O38" s="77" t="str">
        <f>IF(AND('Mapa final'!$Y$27="Baja",'Mapa final'!$AA$27="Leve"),CONCATENATE("R3C",'Mapa final'!$O$27),"")</f>
        <v/>
      </c>
      <c r="P38" s="66" t="str">
        <f>IF(AND('Mapa final'!$Y$22="Baja",'Mapa final'!$AA$22="Menor"),CONCATENATE("R3C",'Mapa final'!$O$22),"")</f>
        <v/>
      </c>
      <c r="Q38" s="67" t="str">
        <f>IF(AND('Mapa final'!$Y$23="Baja",'Mapa final'!$AA$23="Menor"),CONCATENATE("R3C",'Mapa final'!$O$23),"")</f>
        <v/>
      </c>
      <c r="R38" s="67" t="str">
        <f>IF(AND('Mapa final'!$Y$24="Baja",'Mapa final'!$AA$24="Menor"),CONCATENATE("R3C",'Mapa final'!$O$24),"")</f>
        <v/>
      </c>
      <c r="S38" s="67" t="str">
        <f>IF(AND('Mapa final'!$Y$25="Baja",'Mapa final'!$AA$25="Menor"),CONCATENATE("R3C",'Mapa final'!$O$25),"")</f>
        <v/>
      </c>
      <c r="T38" s="67" t="str">
        <f>IF(AND('Mapa final'!$Y$26="Baja",'Mapa final'!$AA$26="Menor"),CONCATENATE("R3C",'Mapa final'!$O$26),"")</f>
        <v/>
      </c>
      <c r="U38" s="68" t="str">
        <f>IF(AND('Mapa final'!$Y$27="Baja",'Mapa final'!$AA$27="Menor"),CONCATENATE("R3C",'Mapa final'!$O$27),"")</f>
        <v/>
      </c>
      <c r="V38" s="66" t="str">
        <f>IF(AND('Mapa final'!$Y$22="Baja",'Mapa final'!$AA$22="Moderado"),CONCATENATE("R3C",'Mapa final'!$O$22),"")</f>
        <v>R3C1</v>
      </c>
      <c r="W38" s="67" t="str">
        <f>IF(AND('Mapa final'!$Y$23="Baja",'Mapa final'!$AA$23="Moderado"),CONCATENATE("R3C",'Mapa final'!$O$23),"")</f>
        <v/>
      </c>
      <c r="X38" s="67" t="str">
        <f>IF(AND('Mapa final'!$Y$24="Baja",'Mapa final'!$AA$24="Moderado"),CONCATENATE("R3C",'Mapa final'!$O$24),"")</f>
        <v/>
      </c>
      <c r="Y38" s="67" t="str">
        <f>IF(AND('Mapa final'!$Y$25="Baja",'Mapa final'!$AA$25="Moderado"),CONCATENATE("R3C",'Mapa final'!$O$25),"")</f>
        <v/>
      </c>
      <c r="Z38" s="67" t="str">
        <f>IF(AND('Mapa final'!$Y$26="Baja",'Mapa final'!$AA$26="Moderado"),CONCATENATE("R3C",'Mapa final'!$O$26),"")</f>
        <v/>
      </c>
      <c r="AA38" s="68" t="str">
        <f>IF(AND('Mapa final'!$Y$27="Baja",'Mapa final'!$AA$27="Moderado"),CONCATENATE("R3C",'Mapa final'!$O$27),"")</f>
        <v/>
      </c>
      <c r="AB38" s="51" t="str">
        <f>IF(AND('Mapa final'!$Y$22="Baja",'Mapa final'!$AA$22="Mayor"),CONCATENATE("R3C",'Mapa final'!$O$22),"")</f>
        <v/>
      </c>
      <c r="AC38" s="52" t="str">
        <f>IF(AND('Mapa final'!$Y$23="Baja",'Mapa final'!$AA$23="Mayor"),CONCATENATE("R3C",'Mapa final'!$O$23),"")</f>
        <v/>
      </c>
      <c r="AD38" s="52" t="str">
        <f>IF(AND('Mapa final'!$Y$24="Baja",'Mapa final'!$AA$24="Mayor"),CONCATENATE("R3C",'Mapa final'!$O$24),"")</f>
        <v/>
      </c>
      <c r="AE38" s="52" t="str">
        <f>IF(AND('Mapa final'!$Y$25="Baja",'Mapa final'!$AA$25="Mayor"),CONCATENATE("R3C",'Mapa final'!$O$25),"")</f>
        <v/>
      </c>
      <c r="AF38" s="52" t="str">
        <f>IF(AND('Mapa final'!$Y$26="Baja",'Mapa final'!$AA$26="Mayor"),CONCATENATE("R3C",'Mapa final'!$O$26),"")</f>
        <v/>
      </c>
      <c r="AG38" s="53" t="str">
        <f>IF(AND('Mapa final'!$Y$27="Baja",'Mapa final'!$AA$27="Mayor"),CONCATENATE("R3C",'Mapa final'!$O$27),"")</f>
        <v/>
      </c>
      <c r="AH38" s="54" t="str">
        <f>IF(AND('Mapa final'!$Y$22="Baja",'Mapa final'!$AA$22="Catastrófico"),CONCATENATE("R3C",'Mapa final'!$O$22),"")</f>
        <v/>
      </c>
      <c r="AI38" s="55" t="str">
        <f>IF(AND('Mapa final'!$Y$23="Baja",'Mapa final'!$AA$23="Catastrófico"),CONCATENATE("R3C",'Mapa final'!$O$23),"")</f>
        <v/>
      </c>
      <c r="AJ38" s="55" t="str">
        <f>IF(AND('Mapa final'!$Y$24="Baja",'Mapa final'!$AA$24="Catastrófico"),CONCATENATE("R3C",'Mapa final'!$O$24),"")</f>
        <v/>
      </c>
      <c r="AK38" s="55" t="str">
        <f>IF(AND('Mapa final'!$Y$25="Baja",'Mapa final'!$AA$25="Catastrófico"),CONCATENATE("R3C",'Mapa final'!$O$25),"")</f>
        <v/>
      </c>
      <c r="AL38" s="55" t="str">
        <f>IF(AND('Mapa final'!$Y$26="Baja",'Mapa final'!$AA$26="Catastrófico"),CONCATENATE("R3C",'Mapa final'!$O$26),"")</f>
        <v/>
      </c>
      <c r="AM38" s="56" t="str">
        <f>IF(AND('Mapa final'!$Y$27="Baja",'Mapa final'!$AA$27="Catastrófico"),CONCATENATE("R3C",'Mapa final'!$O$27),"")</f>
        <v/>
      </c>
      <c r="AN38" s="82"/>
      <c r="AO38" s="415"/>
      <c r="AP38" s="416"/>
      <c r="AQ38" s="416"/>
      <c r="AR38" s="416"/>
      <c r="AS38" s="416"/>
      <c r="AT38" s="417"/>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343"/>
      <c r="C39" s="343"/>
      <c r="D39" s="344"/>
      <c r="E39" s="384"/>
      <c r="F39" s="385"/>
      <c r="G39" s="385"/>
      <c r="H39" s="385"/>
      <c r="I39" s="385"/>
      <c r="J39" s="75" t="str">
        <f>IF(AND('Mapa final'!$Y$28="Baja",'Mapa final'!$AA$28="Leve"),CONCATENATE("R4C",'Mapa final'!$O$28),"")</f>
        <v/>
      </c>
      <c r="K39" s="76" t="str">
        <f>IF(AND('Mapa final'!$Y$29="Baja",'Mapa final'!$AA$29="Leve"),CONCATENATE("R4C",'Mapa final'!$O$29),"")</f>
        <v/>
      </c>
      <c r="L39" s="76" t="str">
        <f>IF(AND('Mapa final'!$Y$30="Baja",'Mapa final'!$AA$30="Leve"),CONCATENATE("R4C",'Mapa final'!$O$30),"")</f>
        <v/>
      </c>
      <c r="M39" s="76" t="str">
        <f>IF(AND('Mapa final'!$Y$31="Baja",'Mapa final'!$AA$31="Leve"),CONCATENATE("R4C",'Mapa final'!$O$31),"")</f>
        <v/>
      </c>
      <c r="N39" s="76" t="str">
        <f>IF(AND('Mapa final'!$Y$32="Baja",'Mapa final'!$AA$32="Leve"),CONCATENATE("R4C",'Mapa final'!$O$32),"")</f>
        <v/>
      </c>
      <c r="O39" s="77" t="str">
        <f>IF(AND('Mapa final'!$Y$33="Baja",'Mapa final'!$AA$33="Leve"),CONCATENATE("R4C",'Mapa final'!$O$33),"")</f>
        <v/>
      </c>
      <c r="P39" s="66" t="str">
        <f>IF(AND('Mapa final'!$Y$28="Baja",'Mapa final'!$AA$28="Menor"),CONCATENATE("R4C",'Mapa final'!$O$28),"")</f>
        <v/>
      </c>
      <c r="Q39" s="67" t="str">
        <f>IF(AND('Mapa final'!$Y$29="Baja",'Mapa final'!$AA$29="Menor"),CONCATENATE("R4C",'Mapa final'!$O$29),"")</f>
        <v/>
      </c>
      <c r="R39" s="67" t="str">
        <f>IF(AND('Mapa final'!$Y$30="Baja",'Mapa final'!$AA$30="Menor"),CONCATENATE("R4C",'Mapa final'!$O$30),"")</f>
        <v/>
      </c>
      <c r="S39" s="67" t="str">
        <f>IF(AND('Mapa final'!$Y$31="Baja",'Mapa final'!$AA$31="Menor"),CONCATENATE("R4C",'Mapa final'!$O$31),"")</f>
        <v/>
      </c>
      <c r="T39" s="67" t="str">
        <f>IF(AND('Mapa final'!$Y$32="Baja",'Mapa final'!$AA$32="Menor"),CONCATENATE("R4C",'Mapa final'!$O$32),"")</f>
        <v/>
      </c>
      <c r="U39" s="68" t="str">
        <f>IF(AND('Mapa final'!$Y$33="Baja",'Mapa final'!$AA$33="Menor"),CONCATENATE("R4C",'Mapa final'!$O$33),"")</f>
        <v/>
      </c>
      <c r="V39" s="66" t="str">
        <f>IF(AND('Mapa final'!$Y$28="Baja",'Mapa final'!$AA$28="Moderado"),CONCATENATE("R4C",'Mapa final'!$O$28),"")</f>
        <v/>
      </c>
      <c r="W39" s="67" t="str">
        <f>IF(AND('Mapa final'!$Y$29="Baja",'Mapa final'!$AA$29="Moderado"),CONCATENATE("R4C",'Mapa final'!$O$29),"")</f>
        <v/>
      </c>
      <c r="X39" s="67" t="str">
        <f>IF(AND('Mapa final'!$Y$30="Baja",'Mapa final'!$AA$30="Moderado"),CONCATENATE("R4C",'Mapa final'!$O$30),"")</f>
        <v/>
      </c>
      <c r="Y39" s="67" t="str">
        <f>IF(AND('Mapa final'!$Y$31="Baja",'Mapa final'!$AA$31="Moderado"),CONCATENATE("R4C",'Mapa final'!$O$31),"")</f>
        <v/>
      </c>
      <c r="Z39" s="67" t="str">
        <f>IF(AND('Mapa final'!$Y$32="Baja",'Mapa final'!$AA$32="Moderado"),CONCATENATE("R4C",'Mapa final'!$O$32),"")</f>
        <v/>
      </c>
      <c r="AA39" s="68" t="str">
        <f>IF(AND('Mapa final'!$Y$33="Baja",'Mapa final'!$AA$33="Moderado"),CONCATENATE("R4C",'Mapa final'!$O$33),"")</f>
        <v/>
      </c>
      <c r="AB39" s="51" t="str">
        <f>IF(AND('Mapa final'!$Y$28="Baja",'Mapa final'!$AA$28="Mayor"),CONCATENATE("R4C",'Mapa final'!$O$28),"")</f>
        <v/>
      </c>
      <c r="AC39" s="52" t="str">
        <f>IF(AND('Mapa final'!$Y$29="Baja",'Mapa final'!$AA$29="Mayor"),CONCATENATE("R4C",'Mapa final'!$O$29),"")</f>
        <v/>
      </c>
      <c r="AD39" s="52" t="str">
        <f>IF(AND('Mapa final'!$Y$30="Baja",'Mapa final'!$AA$30="Mayor"),CONCATENATE("R4C",'Mapa final'!$O$30),"")</f>
        <v/>
      </c>
      <c r="AE39" s="52" t="str">
        <f>IF(AND('Mapa final'!$Y$31="Baja",'Mapa final'!$AA$31="Mayor"),CONCATENATE("R4C",'Mapa final'!$O$31),"")</f>
        <v/>
      </c>
      <c r="AF39" s="52" t="str">
        <f>IF(AND('Mapa final'!$Y$32="Baja",'Mapa final'!$AA$32="Mayor"),CONCATENATE("R4C",'Mapa final'!$O$32),"")</f>
        <v/>
      </c>
      <c r="AG39" s="53" t="str">
        <f>IF(AND('Mapa final'!$Y$33="Baja",'Mapa final'!$AA$33="Mayor"),CONCATENATE("R4C",'Mapa final'!$O$33),"")</f>
        <v/>
      </c>
      <c r="AH39" s="54" t="str">
        <f>IF(AND('Mapa final'!$Y$28="Baja",'Mapa final'!$AA$28="Catastrófico"),CONCATENATE("R4C",'Mapa final'!$O$28),"")</f>
        <v>R4C1</v>
      </c>
      <c r="AI39" s="55" t="str">
        <f>IF(AND('Mapa final'!$Y$29="Baja",'Mapa final'!$AA$29="Catastrófico"),CONCATENATE("R4C",'Mapa final'!$O$29),"")</f>
        <v/>
      </c>
      <c r="AJ39" s="55" t="str">
        <f>IF(AND('Mapa final'!$Y$30="Baja",'Mapa final'!$AA$30="Catastrófico"),CONCATENATE("R4C",'Mapa final'!$O$30),"")</f>
        <v/>
      </c>
      <c r="AK39" s="55" t="str">
        <f>IF(AND('Mapa final'!$Y$31="Baja",'Mapa final'!$AA$31="Catastrófico"),CONCATENATE("R4C",'Mapa final'!$O$31),"")</f>
        <v/>
      </c>
      <c r="AL39" s="55" t="str">
        <f>IF(AND('Mapa final'!$Y$32="Baja",'Mapa final'!$AA$32="Catastrófico"),CONCATENATE("R4C",'Mapa final'!$O$32),"")</f>
        <v/>
      </c>
      <c r="AM39" s="56" t="str">
        <f>IF(AND('Mapa final'!$Y$33="Baja",'Mapa final'!$AA$33="Catastrófico"),CONCATENATE("R4C",'Mapa final'!$O$33),"")</f>
        <v/>
      </c>
      <c r="AN39" s="82"/>
      <c r="AO39" s="415"/>
      <c r="AP39" s="416"/>
      <c r="AQ39" s="416"/>
      <c r="AR39" s="416"/>
      <c r="AS39" s="416"/>
      <c r="AT39" s="417"/>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343"/>
      <c r="C40" s="343"/>
      <c r="D40" s="344"/>
      <c r="E40" s="384"/>
      <c r="F40" s="385"/>
      <c r="G40" s="385"/>
      <c r="H40" s="385"/>
      <c r="I40" s="385"/>
      <c r="J40" s="75" t="str">
        <f>IF(AND('Mapa final'!$Y$34="Baja",'Mapa final'!$AA$34="Leve"),CONCATENATE("R5C",'Mapa final'!$O$34),"")</f>
        <v/>
      </c>
      <c r="K40" s="76" t="str">
        <f>IF(AND('Mapa final'!$Y$35="Baja",'Mapa final'!$AA$35="Leve"),CONCATENATE("R5C",'Mapa final'!$O$35),"")</f>
        <v/>
      </c>
      <c r="L40" s="76" t="str">
        <f>IF(AND('Mapa final'!$Y$36="Baja",'Mapa final'!$AA$36="Leve"),CONCATENATE("R5C",'Mapa final'!$O$36),"")</f>
        <v/>
      </c>
      <c r="M40" s="76" t="str">
        <f>IF(AND('Mapa final'!$Y$37="Baja",'Mapa final'!$AA$37="Leve"),CONCATENATE("R5C",'Mapa final'!$O$37),"")</f>
        <v/>
      </c>
      <c r="N40" s="76" t="str">
        <f>IF(AND('Mapa final'!$Y$38="Baja",'Mapa final'!$AA$38="Leve"),CONCATENATE("R5C",'Mapa final'!$O$38),"")</f>
        <v/>
      </c>
      <c r="O40" s="77" t="str">
        <f>IF(AND('Mapa final'!$Y$39="Baja",'Mapa final'!$AA$39="Leve"),CONCATENATE("R5C",'Mapa final'!$O$39),"")</f>
        <v/>
      </c>
      <c r="P40" s="66" t="str">
        <f>IF(AND('Mapa final'!$Y$34="Baja",'Mapa final'!$AA$34="Menor"),CONCATENATE("R5C",'Mapa final'!$O$34),"")</f>
        <v/>
      </c>
      <c r="Q40" s="67" t="str">
        <f>IF(AND('Mapa final'!$Y$35="Baja",'Mapa final'!$AA$35="Menor"),CONCATENATE("R5C",'Mapa final'!$O$35),"")</f>
        <v/>
      </c>
      <c r="R40" s="67" t="str">
        <f>IF(AND('Mapa final'!$Y$36="Baja",'Mapa final'!$AA$36="Menor"),CONCATENATE("R5C",'Mapa final'!$O$36),"")</f>
        <v/>
      </c>
      <c r="S40" s="67" t="str">
        <f>IF(AND('Mapa final'!$Y$37="Baja",'Mapa final'!$AA$37="Menor"),CONCATENATE("R5C",'Mapa final'!$O$37),"")</f>
        <v/>
      </c>
      <c r="T40" s="67" t="str">
        <f>IF(AND('Mapa final'!$Y$38="Baja",'Mapa final'!$AA$38="Menor"),CONCATENATE("R5C",'Mapa final'!$O$38),"")</f>
        <v/>
      </c>
      <c r="U40" s="68" t="str">
        <f>IF(AND('Mapa final'!$Y$39="Baja",'Mapa final'!$AA$39="Menor"),CONCATENATE("R5C",'Mapa final'!$O$39),"")</f>
        <v/>
      </c>
      <c r="V40" s="66" t="str">
        <f>IF(AND('Mapa final'!$Y$34="Baja",'Mapa final'!$AA$34="Moderado"),CONCATENATE("R5C",'Mapa final'!$O$34),"")</f>
        <v/>
      </c>
      <c r="W40" s="67" t="str">
        <f>IF(AND('Mapa final'!$Y$35="Baja",'Mapa final'!$AA$35="Moderado"),CONCATENATE("R5C",'Mapa final'!$O$35),"")</f>
        <v/>
      </c>
      <c r="X40" s="67" t="str">
        <f>IF(AND('Mapa final'!$Y$36="Baja",'Mapa final'!$AA$36="Moderado"),CONCATENATE("R5C",'Mapa final'!$O$36),"")</f>
        <v/>
      </c>
      <c r="Y40" s="67" t="str">
        <f>IF(AND('Mapa final'!$Y$37="Baja",'Mapa final'!$AA$37="Moderado"),CONCATENATE("R5C",'Mapa final'!$O$37),"")</f>
        <v/>
      </c>
      <c r="Z40" s="67" t="str">
        <f>IF(AND('Mapa final'!$Y$38="Baja",'Mapa final'!$AA$38="Moderado"),CONCATENATE("R5C",'Mapa final'!$O$38),"")</f>
        <v/>
      </c>
      <c r="AA40" s="68" t="str">
        <f>IF(AND('Mapa final'!$Y$39="Baja",'Mapa final'!$AA$39="Moderado"),CONCATENATE("R5C",'Mapa final'!$O$39),"")</f>
        <v/>
      </c>
      <c r="AB40" s="51" t="str">
        <f>IF(AND('Mapa final'!$Y$34="Baja",'Mapa final'!$AA$34="Mayor"),CONCATENATE("R5C",'Mapa final'!$O$34),"")</f>
        <v/>
      </c>
      <c r="AC40" s="52" t="str">
        <f>IF(AND('Mapa final'!$Y$35="Baja",'Mapa final'!$AA$35="Mayor"),CONCATENATE("R5C",'Mapa final'!$O$35),"")</f>
        <v/>
      </c>
      <c r="AD40" s="52" t="str">
        <f>IF(AND('Mapa final'!$Y$36="Baja",'Mapa final'!$AA$36="Mayor"),CONCATENATE("R5C",'Mapa final'!$O$36),"")</f>
        <v/>
      </c>
      <c r="AE40" s="52" t="str">
        <f>IF(AND('Mapa final'!$Y$37="Baja",'Mapa final'!$AA$37="Mayor"),CONCATENATE("R5C",'Mapa final'!$O$37),"")</f>
        <v/>
      </c>
      <c r="AF40" s="52" t="str">
        <f>IF(AND('Mapa final'!$Y$38="Baja",'Mapa final'!$AA$38="Mayor"),CONCATENATE("R5C",'Mapa final'!$O$38),"")</f>
        <v/>
      </c>
      <c r="AG40" s="53" t="str">
        <f>IF(AND('Mapa final'!$Y$39="Baja",'Mapa final'!$AA$39="Mayor"),CONCATENATE("R5C",'Mapa final'!$O$39),"")</f>
        <v/>
      </c>
      <c r="AH40" s="54" t="str">
        <f>IF(AND('Mapa final'!$Y$34="Baja",'Mapa final'!$AA$34="Catastrófico"),CONCATENATE("R5C",'Mapa final'!$O$34),"")</f>
        <v/>
      </c>
      <c r="AI40" s="55" t="str">
        <f>IF(AND('Mapa final'!$Y$35="Baja",'Mapa final'!$AA$35="Catastrófico"),CONCATENATE("R5C",'Mapa final'!$O$35),"")</f>
        <v/>
      </c>
      <c r="AJ40" s="55" t="str">
        <f>IF(AND('Mapa final'!$Y$36="Baja",'Mapa final'!$AA$36="Catastrófico"),CONCATENATE("R5C",'Mapa final'!$O$36),"")</f>
        <v/>
      </c>
      <c r="AK40" s="55" t="str">
        <f>IF(AND('Mapa final'!$Y$37="Baja",'Mapa final'!$AA$37="Catastrófico"),CONCATENATE("R5C",'Mapa final'!$O$37),"")</f>
        <v/>
      </c>
      <c r="AL40" s="55" t="str">
        <f>IF(AND('Mapa final'!$Y$38="Baja",'Mapa final'!$AA$38="Catastrófico"),CONCATENATE("R5C",'Mapa final'!$O$38),"")</f>
        <v/>
      </c>
      <c r="AM40" s="56" t="str">
        <f>IF(AND('Mapa final'!$Y$39="Baja",'Mapa final'!$AA$39="Catastrófico"),CONCATENATE("R5C",'Mapa final'!$O$39),"")</f>
        <v/>
      </c>
      <c r="AN40" s="82"/>
      <c r="AO40" s="415"/>
      <c r="AP40" s="416"/>
      <c r="AQ40" s="416"/>
      <c r="AR40" s="416"/>
      <c r="AS40" s="416"/>
      <c r="AT40" s="417"/>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343"/>
      <c r="C41" s="343"/>
      <c r="D41" s="344"/>
      <c r="E41" s="384"/>
      <c r="F41" s="385"/>
      <c r="G41" s="385"/>
      <c r="H41" s="385"/>
      <c r="I41" s="385"/>
      <c r="J41" s="75" t="str">
        <f>IF(AND('Mapa final'!$Y$40="Baja",'Mapa final'!$AA$40="Leve"),CONCATENATE("R6C",'Mapa final'!$O$40),"")</f>
        <v/>
      </c>
      <c r="K41" s="76" t="str">
        <f>IF(AND('Mapa final'!$Y$41="Baja",'Mapa final'!$AA$41="Leve"),CONCATENATE("R6C",'Mapa final'!$O$41),"")</f>
        <v/>
      </c>
      <c r="L41" s="76" t="str">
        <f>IF(AND('Mapa final'!$Y$42="Baja",'Mapa final'!$AA$42="Leve"),CONCATENATE("R6C",'Mapa final'!$O$42),"")</f>
        <v/>
      </c>
      <c r="M41" s="76" t="str">
        <f>IF(AND('Mapa final'!$Y$43="Baja",'Mapa final'!$AA$43="Leve"),CONCATENATE("R6C",'Mapa final'!$O$43),"")</f>
        <v/>
      </c>
      <c r="N41" s="76" t="str">
        <f>IF(AND('Mapa final'!$Y$44="Baja",'Mapa final'!$AA$44="Leve"),CONCATENATE("R6C",'Mapa final'!$O$44),"")</f>
        <v/>
      </c>
      <c r="O41" s="77" t="str">
        <f>IF(AND('Mapa final'!$Y$45="Baja",'Mapa final'!$AA$45="Leve"),CONCATENATE("R6C",'Mapa final'!$O$45),"")</f>
        <v/>
      </c>
      <c r="P41" s="66" t="str">
        <f>IF(AND('Mapa final'!$Y$40="Baja",'Mapa final'!$AA$40="Menor"),CONCATENATE("R6C",'Mapa final'!$O$40),"")</f>
        <v/>
      </c>
      <c r="Q41" s="67" t="str">
        <f>IF(AND('Mapa final'!$Y$41="Baja",'Mapa final'!$AA$41="Menor"),CONCATENATE("R6C",'Mapa final'!$O$41),"")</f>
        <v/>
      </c>
      <c r="R41" s="67" t="str">
        <f>IF(AND('Mapa final'!$Y$42="Baja",'Mapa final'!$AA$42="Menor"),CONCATENATE("R6C",'Mapa final'!$O$42),"")</f>
        <v/>
      </c>
      <c r="S41" s="67" t="str">
        <f>IF(AND('Mapa final'!$Y$43="Baja",'Mapa final'!$AA$43="Menor"),CONCATENATE("R6C",'Mapa final'!$O$43),"")</f>
        <v/>
      </c>
      <c r="T41" s="67" t="str">
        <f>IF(AND('Mapa final'!$Y$44="Baja",'Mapa final'!$AA$44="Menor"),CONCATENATE("R6C",'Mapa final'!$O$44),"")</f>
        <v/>
      </c>
      <c r="U41" s="68" t="str">
        <f>IF(AND('Mapa final'!$Y$45="Baja",'Mapa final'!$AA$45="Menor"),CONCATENATE("R6C",'Mapa final'!$O$45),"")</f>
        <v/>
      </c>
      <c r="V41" s="66" t="str">
        <f>IF(AND('Mapa final'!$Y$40="Baja",'Mapa final'!$AA$40="Moderado"),CONCATENATE("R6C",'Mapa final'!$O$40),"")</f>
        <v/>
      </c>
      <c r="W41" s="67" t="str">
        <f>IF(AND('Mapa final'!$Y$41="Baja",'Mapa final'!$AA$41="Moderado"),CONCATENATE("R6C",'Mapa final'!$O$41),"")</f>
        <v/>
      </c>
      <c r="X41" s="67" t="str">
        <f>IF(AND('Mapa final'!$Y$42="Baja",'Mapa final'!$AA$42="Moderado"),CONCATENATE("R6C",'Mapa final'!$O$42),"")</f>
        <v/>
      </c>
      <c r="Y41" s="67" t="str">
        <f>IF(AND('Mapa final'!$Y$43="Baja",'Mapa final'!$AA$43="Moderado"),CONCATENATE("R6C",'Mapa final'!$O$43),"")</f>
        <v/>
      </c>
      <c r="Z41" s="67" t="str">
        <f>IF(AND('Mapa final'!$Y$44="Baja",'Mapa final'!$AA$44="Moderado"),CONCATENATE("R6C",'Mapa final'!$O$44),"")</f>
        <v/>
      </c>
      <c r="AA41" s="68" t="str">
        <f>IF(AND('Mapa final'!$Y$45="Baja",'Mapa final'!$AA$45="Moderado"),CONCATENATE("R6C",'Mapa final'!$O$45),"")</f>
        <v/>
      </c>
      <c r="AB41" s="51" t="str">
        <f>IF(AND('Mapa final'!$Y$40="Baja",'Mapa final'!$AA$40="Mayor"),CONCATENATE("R6C",'Mapa final'!$O$40),"")</f>
        <v/>
      </c>
      <c r="AC41" s="52" t="str">
        <f>IF(AND('Mapa final'!$Y$41="Baja",'Mapa final'!$AA$41="Mayor"),CONCATENATE("R6C",'Mapa final'!$O$41),"")</f>
        <v/>
      </c>
      <c r="AD41" s="52" t="str">
        <f>IF(AND('Mapa final'!$Y$42="Baja",'Mapa final'!$AA$42="Mayor"),CONCATENATE("R6C",'Mapa final'!$O$42),"")</f>
        <v/>
      </c>
      <c r="AE41" s="52" t="str">
        <f>IF(AND('Mapa final'!$Y$43="Baja",'Mapa final'!$AA$43="Mayor"),CONCATENATE("R6C",'Mapa final'!$O$43),"")</f>
        <v/>
      </c>
      <c r="AF41" s="52" t="str">
        <f>IF(AND('Mapa final'!$Y$44="Baja",'Mapa final'!$AA$44="Mayor"),CONCATENATE("R6C",'Mapa final'!$O$44),"")</f>
        <v/>
      </c>
      <c r="AG41" s="53" t="str">
        <f>IF(AND('Mapa final'!$Y$45="Baja",'Mapa final'!$AA$45="Mayor"),CONCATENATE("R6C",'Mapa final'!$O$45),"")</f>
        <v/>
      </c>
      <c r="AH41" s="54" t="str">
        <f>IF(AND('Mapa final'!$Y$40="Baja",'Mapa final'!$AA$40="Catastrófico"),CONCATENATE("R6C",'Mapa final'!$O$40),"")</f>
        <v/>
      </c>
      <c r="AI41" s="55" t="str">
        <f>IF(AND('Mapa final'!$Y$41="Baja",'Mapa final'!$AA$41="Catastrófico"),CONCATENATE("R6C",'Mapa final'!$O$41),"")</f>
        <v/>
      </c>
      <c r="AJ41" s="55" t="str">
        <f>IF(AND('Mapa final'!$Y$42="Baja",'Mapa final'!$AA$42="Catastrófico"),CONCATENATE("R6C",'Mapa final'!$O$42),"")</f>
        <v/>
      </c>
      <c r="AK41" s="55" t="str">
        <f>IF(AND('Mapa final'!$Y$43="Baja",'Mapa final'!$AA$43="Catastrófico"),CONCATENATE("R6C",'Mapa final'!$O$43),"")</f>
        <v/>
      </c>
      <c r="AL41" s="55" t="str">
        <f>IF(AND('Mapa final'!$Y$44="Baja",'Mapa final'!$AA$44="Catastrófico"),CONCATENATE("R6C",'Mapa final'!$O$44),"")</f>
        <v/>
      </c>
      <c r="AM41" s="56" t="str">
        <f>IF(AND('Mapa final'!$Y$45="Baja",'Mapa final'!$AA$45="Catastrófico"),CONCATENATE("R6C",'Mapa final'!$O$45),"")</f>
        <v/>
      </c>
      <c r="AN41" s="82"/>
      <c r="AO41" s="415"/>
      <c r="AP41" s="416"/>
      <c r="AQ41" s="416"/>
      <c r="AR41" s="416"/>
      <c r="AS41" s="416"/>
      <c r="AT41" s="417"/>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343"/>
      <c r="C42" s="343"/>
      <c r="D42" s="344"/>
      <c r="E42" s="384"/>
      <c r="F42" s="385"/>
      <c r="G42" s="385"/>
      <c r="H42" s="385"/>
      <c r="I42" s="385"/>
      <c r="J42" s="75" t="str">
        <f>IF(AND('Mapa final'!$Y$46="Baja",'Mapa final'!$AA$46="Leve"),CONCATENATE("R7C",'Mapa final'!$O$46),"")</f>
        <v/>
      </c>
      <c r="K42" s="76" t="str">
        <f>IF(AND('Mapa final'!$Y$47="Baja",'Mapa final'!$AA$47="Leve"),CONCATENATE("R7C",'Mapa final'!$O$47),"")</f>
        <v/>
      </c>
      <c r="L42" s="76" t="str">
        <f>IF(AND('Mapa final'!$Y$48="Baja",'Mapa final'!$AA$48="Leve"),CONCATENATE("R7C",'Mapa final'!$O$48),"")</f>
        <v/>
      </c>
      <c r="M42" s="76" t="str">
        <f>IF(AND('Mapa final'!$Y$49="Baja",'Mapa final'!$AA$49="Leve"),CONCATENATE("R7C",'Mapa final'!$O$49),"")</f>
        <v/>
      </c>
      <c r="N42" s="76" t="str">
        <f>IF(AND('Mapa final'!$Y$50="Baja",'Mapa final'!$AA$50="Leve"),CONCATENATE("R7C",'Mapa final'!$O$50),"")</f>
        <v/>
      </c>
      <c r="O42" s="77" t="str">
        <f>IF(AND('Mapa final'!$Y$51="Baja",'Mapa final'!$AA$51="Leve"),CONCATENATE("R7C",'Mapa final'!$O$51),"")</f>
        <v/>
      </c>
      <c r="P42" s="66" t="str">
        <f>IF(AND('Mapa final'!$Y$46="Baja",'Mapa final'!$AA$46="Menor"),CONCATENATE("R7C",'Mapa final'!$O$46),"")</f>
        <v/>
      </c>
      <c r="Q42" s="67" t="str">
        <f>IF(AND('Mapa final'!$Y$47="Baja",'Mapa final'!$AA$47="Menor"),CONCATENATE("R7C",'Mapa final'!$O$47),"")</f>
        <v/>
      </c>
      <c r="R42" s="67" t="str">
        <f>IF(AND('Mapa final'!$Y$48="Baja",'Mapa final'!$AA$48="Menor"),CONCATENATE("R7C",'Mapa final'!$O$48),"")</f>
        <v/>
      </c>
      <c r="S42" s="67" t="str">
        <f>IF(AND('Mapa final'!$Y$49="Baja",'Mapa final'!$AA$49="Menor"),CONCATENATE("R7C",'Mapa final'!$O$49),"")</f>
        <v/>
      </c>
      <c r="T42" s="67" t="str">
        <f>IF(AND('Mapa final'!$Y$50="Baja",'Mapa final'!$AA$50="Menor"),CONCATENATE("R7C",'Mapa final'!$O$50),"")</f>
        <v/>
      </c>
      <c r="U42" s="68" t="str">
        <f>IF(AND('Mapa final'!$Y$51="Baja",'Mapa final'!$AA$51="Menor"),CONCATENATE("R7C",'Mapa final'!$O$51),"")</f>
        <v/>
      </c>
      <c r="V42" s="66" t="str">
        <f>IF(AND('Mapa final'!$Y$46="Baja",'Mapa final'!$AA$46="Moderado"),CONCATENATE("R7C",'Mapa final'!$O$46),"")</f>
        <v/>
      </c>
      <c r="W42" s="67" t="str">
        <f>IF(AND('Mapa final'!$Y$47="Baja",'Mapa final'!$AA$47="Moderado"),CONCATENATE("R7C",'Mapa final'!$O$47),"")</f>
        <v/>
      </c>
      <c r="X42" s="67" t="str">
        <f>IF(AND('Mapa final'!$Y$48="Baja",'Mapa final'!$AA$48="Moderado"),CONCATENATE("R7C",'Mapa final'!$O$48),"")</f>
        <v/>
      </c>
      <c r="Y42" s="67" t="str">
        <f>IF(AND('Mapa final'!$Y$49="Baja",'Mapa final'!$AA$49="Moderado"),CONCATENATE("R7C",'Mapa final'!$O$49),"")</f>
        <v/>
      </c>
      <c r="Z42" s="67" t="str">
        <f>IF(AND('Mapa final'!$Y$50="Baja",'Mapa final'!$AA$50="Moderado"),CONCATENATE("R7C",'Mapa final'!$O$50),"")</f>
        <v/>
      </c>
      <c r="AA42" s="68" t="str">
        <f>IF(AND('Mapa final'!$Y$51="Baja",'Mapa final'!$AA$51="Moderado"),CONCATENATE("R7C",'Mapa final'!$O$51),"")</f>
        <v/>
      </c>
      <c r="AB42" s="51" t="str">
        <f>IF(AND('Mapa final'!$Y$46="Baja",'Mapa final'!$AA$46="Mayor"),CONCATENATE("R7C",'Mapa final'!$O$46),"")</f>
        <v/>
      </c>
      <c r="AC42" s="52" t="str">
        <f>IF(AND('Mapa final'!$Y$47="Baja",'Mapa final'!$AA$47="Mayor"),CONCATENATE("R7C",'Mapa final'!$O$47),"")</f>
        <v/>
      </c>
      <c r="AD42" s="52" t="str">
        <f>IF(AND('Mapa final'!$Y$48="Baja",'Mapa final'!$AA$48="Mayor"),CONCATENATE("R7C",'Mapa final'!$O$48),"")</f>
        <v/>
      </c>
      <c r="AE42" s="52" t="str">
        <f>IF(AND('Mapa final'!$Y$49="Baja",'Mapa final'!$AA$49="Mayor"),CONCATENATE("R7C",'Mapa final'!$O$49),"")</f>
        <v/>
      </c>
      <c r="AF42" s="52" t="str">
        <f>IF(AND('Mapa final'!$Y$50="Baja",'Mapa final'!$AA$50="Mayor"),CONCATENATE("R7C",'Mapa final'!$O$50),"")</f>
        <v/>
      </c>
      <c r="AG42" s="53" t="str">
        <f>IF(AND('Mapa final'!$Y$51="Baja",'Mapa final'!$AA$51="Mayor"),CONCATENATE("R7C",'Mapa final'!$O$51),"")</f>
        <v/>
      </c>
      <c r="AH42" s="54" t="str">
        <f>IF(AND('Mapa final'!$Y$46="Baja",'Mapa final'!$AA$46="Catastrófico"),CONCATENATE("R7C",'Mapa final'!$O$46),"")</f>
        <v/>
      </c>
      <c r="AI42" s="55" t="str">
        <f>IF(AND('Mapa final'!$Y$47="Baja",'Mapa final'!$AA$47="Catastrófico"),CONCATENATE("R7C",'Mapa final'!$O$47),"")</f>
        <v/>
      </c>
      <c r="AJ42" s="55" t="str">
        <f>IF(AND('Mapa final'!$Y$48="Baja",'Mapa final'!$AA$48="Catastrófico"),CONCATENATE("R7C",'Mapa final'!$O$48),"")</f>
        <v/>
      </c>
      <c r="AK42" s="55" t="str">
        <f>IF(AND('Mapa final'!$Y$49="Baja",'Mapa final'!$AA$49="Catastrófico"),CONCATENATE("R7C",'Mapa final'!$O$49),"")</f>
        <v/>
      </c>
      <c r="AL42" s="55" t="str">
        <f>IF(AND('Mapa final'!$Y$50="Baja",'Mapa final'!$AA$50="Catastrófico"),CONCATENATE("R7C",'Mapa final'!$O$50),"")</f>
        <v/>
      </c>
      <c r="AM42" s="56" t="str">
        <f>IF(AND('Mapa final'!$Y$51="Baja",'Mapa final'!$AA$51="Catastrófico"),CONCATENATE("R7C",'Mapa final'!$O$51),"")</f>
        <v/>
      </c>
      <c r="AN42" s="82"/>
      <c r="AO42" s="415"/>
      <c r="AP42" s="416"/>
      <c r="AQ42" s="416"/>
      <c r="AR42" s="416"/>
      <c r="AS42" s="416"/>
      <c r="AT42" s="417"/>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343"/>
      <c r="C43" s="343"/>
      <c r="D43" s="344"/>
      <c r="E43" s="384"/>
      <c r="F43" s="385"/>
      <c r="G43" s="385"/>
      <c r="H43" s="385"/>
      <c r="I43" s="385"/>
      <c r="J43" s="75" t="str">
        <f>IF(AND('Mapa final'!$Y$52="Baja",'Mapa final'!$AA$52="Leve"),CONCATENATE("R8C",'Mapa final'!$O$52),"")</f>
        <v/>
      </c>
      <c r="K43" s="76" t="str">
        <f>IF(AND('Mapa final'!$Y$53="Baja",'Mapa final'!$AA$53="Leve"),CONCATENATE("R8C",'Mapa final'!$O$53),"")</f>
        <v/>
      </c>
      <c r="L43" s="76" t="str">
        <f>IF(AND('Mapa final'!$Y$54="Baja",'Mapa final'!$AA$54="Leve"),CONCATENATE("R8C",'Mapa final'!$O$54),"")</f>
        <v/>
      </c>
      <c r="M43" s="76" t="str">
        <f>IF(AND('Mapa final'!$Y$55="Baja",'Mapa final'!$AA$55="Leve"),CONCATENATE("R8C",'Mapa final'!$O$55),"")</f>
        <v/>
      </c>
      <c r="N43" s="76" t="str">
        <f>IF(AND('Mapa final'!$Y$56="Baja",'Mapa final'!$AA$56="Leve"),CONCATENATE("R8C",'Mapa final'!$O$56),"")</f>
        <v/>
      </c>
      <c r="O43" s="77" t="str">
        <f>IF(AND('Mapa final'!$Y$57="Baja",'Mapa final'!$AA$57="Leve"),CONCATENATE("R8C",'Mapa final'!$O$57),"")</f>
        <v/>
      </c>
      <c r="P43" s="66" t="str">
        <f>IF(AND('Mapa final'!$Y$52="Baja",'Mapa final'!$AA$52="Menor"),CONCATENATE("R8C",'Mapa final'!$O$52),"")</f>
        <v/>
      </c>
      <c r="Q43" s="67" t="str">
        <f>IF(AND('Mapa final'!$Y$53="Baja",'Mapa final'!$AA$53="Menor"),CONCATENATE("R8C",'Mapa final'!$O$53),"")</f>
        <v/>
      </c>
      <c r="R43" s="67" t="str">
        <f>IF(AND('Mapa final'!$Y$54="Baja",'Mapa final'!$AA$54="Menor"),CONCATENATE("R8C",'Mapa final'!$O$54),"")</f>
        <v/>
      </c>
      <c r="S43" s="67" t="str">
        <f>IF(AND('Mapa final'!$Y$55="Baja",'Mapa final'!$AA$55="Menor"),CONCATENATE("R8C",'Mapa final'!$O$55),"")</f>
        <v/>
      </c>
      <c r="T43" s="67" t="str">
        <f>IF(AND('Mapa final'!$Y$56="Baja",'Mapa final'!$AA$56="Menor"),CONCATENATE("R8C",'Mapa final'!$O$56),"")</f>
        <v/>
      </c>
      <c r="U43" s="68" t="str">
        <f>IF(AND('Mapa final'!$Y$57="Baja",'Mapa final'!$AA$57="Menor"),CONCATENATE("R8C",'Mapa final'!$O$57),"")</f>
        <v/>
      </c>
      <c r="V43" s="66" t="str">
        <f>IF(AND('Mapa final'!$Y$52="Baja",'Mapa final'!$AA$52="Moderado"),CONCATENATE("R8C",'Mapa final'!$O$52),"")</f>
        <v/>
      </c>
      <c r="W43" s="67" t="str">
        <f>IF(AND('Mapa final'!$Y$53="Baja",'Mapa final'!$AA$53="Moderado"),CONCATENATE("R8C",'Mapa final'!$O$53),"")</f>
        <v/>
      </c>
      <c r="X43" s="67" t="str">
        <f>IF(AND('Mapa final'!$Y$54="Baja",'Mapa final'!$AA$54="Moderado"),CONCATENATE("R8C",'Mapa final'!$O$54),"")</f>
        <v/>
      </c>
      <c r="Y43" s="67" t="str">
        <f>IF(AND('Mapa final'!$Y$55="Baja",'Mapa final'!$AA$55="Moderado"),CONCATENATE("R8C",'Mapa final'!$O$55),"")</f>
        <v/>
      </c>
      <c r="Z43" s="67" t="str">
        <f>IF(AND('Mapa final'!$Y$56="Baja",'Mapa final'!$AA$56="Moderado"),CONCATENATE("R8C",'Mapa final'!$O$56),"")</f>
        <v/>
      </c>
      <c r="AA43" s="68" t="str">
        <f>IF(AND('Mapa final'!$Y$57="Baja",'Mapa final'!$AA$57="Moderado"),CONCATENATE("R8C",'Mapa final'!$O$57),"")</f>
        <v/>
      </c>
      <c r="AB43" s="51" t="str">
        <f>IF(AND('Mapa final'!$Y$52="Baja",'Mapa final'!$AA$52="Mayor"),CONCATENATE("R8C",'Mapa final'!$O$52),"")</f>
        <v/>
      </c>
      <c r="AC43" s="52" t="str">
        <f>IF(AND('Mapa final'!$Y$53="Baja",'Mapa final'!$AA$53="Mayor"),CONCATENATE("R8C",'Mapa final'!$O$53),"")</f>
        <v/>
      </c>
      <c r="AD43" s="52" t="str">
        <f>IF(AND('Mapa final'!$Y$54="Baja",'Mapa final'!$AA$54="Mayor"),CONCATENATE("R8C",'Mapa final'!$O$54),"")</f>
        <v/>
      </c>
      <c r="AE43" s="52" t="str">
        <f>IF(AND('Mapa final'!$Y$55="Baja",'Mapa final'!$AA$55="Mayor"),CONCATENATE("R8C",'Mapa final'!$O$55),"")</f>
        <v/>
      </c>
      <c r="AF43" s="52" t="str">
        <f>IF(AND('Mapa final'!$Y$56="Baja",'Mapa final'!$AA$56="Mayor"),CONCATENATE("R8C",'Mapa final'!$O$56),"")</f>
        <v/>
      </c>
      <c r="AG43" s="53" t="str">
        <f>IF(AND('Mapa final'!$Y$57="Baja",'Mapa final'!$AA$57="Mayor"),CONCATENATE("R8C",'Mapa final'!$O$57),"")</f>
        <v/>
      </c>
      <c r="AH43" s="54" t="str">
        <f>IF(AND('Mapa final'!$Y$52="Baja",'Mapa final'!$AA$52="Catastrófico"),CONCATENATE("R8C",'Mapa final'!$O$52),"")</f>
        <v/>
      </c>
      <c r="AI43" s="55" t="str">
        <f>IF(AND('Mapa final'!$Y$53="Baja",'Mapa final'!$AA$53="Catastrófico"),CONCATENATE("R8C",'Mapa final'!$O$53),"")</f>
        <v/>
      </c>
      <c r="AJ43" s="55" t="str">
        <f>IF(AND('Mapa final'!$Y$54="Baja",'Mapa final'!$AA$54="Catastrófico"),CONCATENATE("R8C",'Mapa final'!$O$54),"")</f>
        <v/>
      </c>
      <c r="AK43" s="55" t="str">
        <f>IF(AND('Mapa final'!$Y$55="Baja",'Mapa final'!$AA$55="Catastrófico"),CONCATENATE("R8C",'Mapa final'!$O$55),"")</f>
        <v/>
      </c>
      <c r="AL43" s="55" t="str">
        <f>IF(AND('Mapa final'!$Y$56="Baja",'Mapa final'!$AA$56="Catastrófico"),CONCATENATE("R8C",'Mapa final'!$O$56),"")</f>
        <v/>
      </c>
      <c r="AM43" s="56" t="str">
        <f>IF(AND('Mapa final'!$Y$57="Baja",'Mapa final'!$AA$57="Catastrófico"),CONCATENATE("R8C",'Mapa final'!$O$57),"")</f>
        <v/>
      </c>
      <c r="AN43" s="82"/>
      <c r="AO43" s="415"/>
      <c r="AP43" s="416"/>
      <c r="AQ43" s="416"/>
      <c r="AR43" s="416"/>
      <c r="AS43" s="416"/>
      <c r="AT43" s="417"/>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343"/>
      <c r="C44" s="343"/>
      <c r="D44" s="344"/>
      <c r="E44" s="384"/>
      <c r="F44" s="385"/>
      <c r="G44" s="385"/>
      <c r="H44" s="385"/>
      <c r="I44" s="385"/>
      <c r="J44" s="75" t="str">
        <f>IF(AND('Mapa final'!$Y$58="Baja",'Mapa final'!$AA$58="Leve"),CONCATENATE("R9C",'Mapa final'!$O$58),"")</f>
        <v/>
      </c>
      <c r="K44" s="76" t="str">
        <f>IF(AND('Mapa final'!$Y$59="Baja",'Mapa final'!$AA$59="Leve"),CONCATENATE("R9C",'Mapa final'!$O$59),"")</f>
        <v/>
      </c>
      <c r="L44" s="76" t="str">
        <f>IF(AND('Mapa final'!$Y$60="Baja",'Mapa final'!$AA$60="Leve"),CONCATENATE("R9C",'Mapa final'!$O$60),"")</f>
        <v/>
      </c>
      <c r="M44" s="76" t="str">
        <f>IF(AND('Mapa final'!$Y$61="Baja",'Mapa final'!$AA$61="Leve"),CONCATENATE("R9C",'Mapa final'!$O$61),"")</f>
        <v/>
      </c>
      <c r="N44" s="76" t="str">
        <f>IF(AND('Mapa final'!$Y$62="Baja",'Mapa final'!$AA$62="Leve"),CONCATENATE("R9C",'Mapa final'!$O$62),"")</f>
        <v/>
      </c>
      <c r="O44" s="77" t="str">
        <f>IF(AND('Mapa final'!$Y$63="Baja",'Mapa final'!$AA$63="Leve"),CONCATENATE("R9C",'Mapa final'!$O$63),"")</f>
        <v/>
      </c>
      <c r="P44" s="66" t="str">
        <f>IF(AND('Mapa final'!$Y$58="Baja",'Mapa final'!$AA$58="Menor"),CONCATENATE("R9C",'Mapa final'!$O$58),"")</f>
        <v/>
      </c>
      <c r="Q44" s="67" t="str">
        <f>IF(AND('Mapa final'!$Y$59="Baja",'Mapa final'!$AA$59="Menor"),CONCATENATE("R9C",'Mapa final'!$O$59),"")</f>
        <v/>
      </c>
      <c r="R44" s="67" t="str">
        <f>IF(AND('Mapa final'!$Y$60="Baja",'Mapa final'!$AA$60="Menor"),CONCATENATE("R9C",'Mapa final'!$O$60),"")</f>
        <v/>
      </c>
      <c r="S44" s="67" t="str">
        <f>IF(AND('Mapa final'!$Y$61="Baja",'Mapa final'!$AA$61="Menor"),CONCATENATE("R9C",'Mapa final'!$O$61),"")</f>
        <v/>
      </c>
      <c r="T44" s="67" t="str">
        <f>IF(AND('Mapa final'!$Y$62="Baja",'Mapa final'!$AA$62="Menor"),CONCATENATE("R9C",'Mapa final'!$O$62),"")</f>
        <v/>
      </c>
      <c r="U44" s="68" t="str">
        <f>IF(AND('Mapa final'!$Y$63="Baja",'Mapa final'!$AA$63="Menor"),CONCATENATE("R9C",'Mapa final'!$O$63),"")</f>
        <v/>
      </c>
      <c r="V44" s="66" t="str">
        <f>IF(AND('Mapa final'!$Y$58="Baja",'Mapa final'!$AA$58="Moderado"),CONCATENATE("R9C",'Mapa final'!$O$58),"")</f>
        <v/>
      </c>
      <c r="W44" s="67" t="str">
        <f>IF(AND('Mapa final'!$Y$59="Baja",'Mapa final'!$AA$59="Moderado"),CONCATENATE("R9C",'Mapa final'!$O$59),"")</f>
        <v/>
      </c>
      <c r="X44" s="67" t="str">
        <f>IF(AND('Mapa final'!$Y$60="Baja",'Mapa final'!$AA$60="Moderado"),CONCATENATE("R9C",'Mapa final'!$O$60),"")</f>
        <v/>
      </c>
      <c r="Y44" s="67" t="str">
        <f>IF(AND('Mapa final'!$Y$61="Baja",'Mapa final'!$AA$61="Moderado"),CONCATENATE("R9C",'Mapa final'!$O$61),"")</f>
        <v/>
      </c>
      <c r="Z44" s="67" t="str">
        <f>IF(AND('Mapa final'!$Y$62="Baja",'Mapa final'!$AA$62="Moderado"),CONCATENATE("R9C",'Mapa final'!$O$62),"")</f>
        <v/>
      </c>
      <c r="AA44" s="68" t="str">
        <f>IF(AND('Mapa final'!$Y$63="Baja",'Mapa final'!$AA$63="Moderado"),CONCATENATE("R9C",'Mapa final'!$O$63),"")</f>
        <v/>
      </c>
      <c r="AB44" s="51" t="str">
        <f>IF(AND('Mapa final'!$Y$58="Baja",'Mapa final'!$AA$58="Mayor"),CONCATENATE("R9C",'Mapa final'!$O$58),"")</f>
        <v/>
      </c>
      <c r="AC44" s="52" t="str">
        <f>IF(AND('Mapa final'!$Y$59="Baja",'Mapa final'!$AA$59="Mayor"),CONCATENATE("R9C",'Mapa final'!$O$59),"")</f>
        <v/>
      </c>
      <c r="AD44" s="52" t="str">
        <f>IF(AND('Mapa final'!$Y$60="Baja",'Mapa final'!$AA$60="Mayor"),CONCATENATE("R9C",'Mapa final'!$O$60),"")</f>
        <v/>
      </c>
      <c r="AE44" s="52" t="str">
        <f>IF(AND('Mapa final'!$Y$61="Baja",'Mapa final'!$AA$61="Mayor"),CONCATENATE("R9C",'Mapa final'!$O$61),"")</f>
        <v/>
      </c>
      <c r="AF44" s="52" t="str">
        <f>IF(AND('Mapa final'!$Y$62="Baja",'Mapa final'!$AA$62="Mayor"),CONCATENATE("R9C",'Mapa final'!$O$62),"")</f>
        <v/>
      </c>
      <c r="AG44" s="53" t="str">
        <f>IF(AND('Mapa final'!$Y$63="Baja",'Mapa final'!$AA$63="Mayor"),CONCATENATE("R9C",'Mapa final'!$O$63),"")</f>
        <v/>
      </c>
      <c r="AH44" s="54" t="str">
        <f>IF(AND('Mapa final'!$Y$58="Baja",'Mapa final'!$AA$58="Catastrófico"),CONCATENATE("R9C",'Mapa final'!$O$58),"")</f>
        <v/>
      </c>
      <c r="AI44" s="55" t="str">
        <f>IF(AND('Mapa final'!$Y$59="Baja",'Mapa final'!$AA$59="Catastrófico"),CONCATENATE("R9C",'Mapa final'!$O$59),"")</f>
        <v/>
      </c>
      <c r="AJ44" s="55" t="str">
        <f>IF(AND('Mapa final'!$Y$60="Baja",'Mapa final'!$AA$60="Catastrófico"),CONCATENATE("R9C",'Mapa final'!$O$60),"")</f>
        <v/>
      </c>
      <c r="AK44" s="55" t="str">
        <f>IF(AND('Mapa final'!$Y$61="Baja",'Mapa final'!$AA$61="Catastrófico"),CONCATENATE("R9C",'Mapa final'!$O$61),"")</f>
        <v/>
      </c>
      <c r="AL44" s="55" t="str">
        <f>IF(AND('Mapa final'!$Y$62="Baja",'Mapa final'!$AA$62="Catastrófico"),CONCATENATE("R9C",'Mapa final'!$O$62),"")</f>
        <v/>
      </c>
      <c r="AM44" s="56" t="str">
        <f>IF(AND('Mapa final'!$Y$63="Baja",'Mapa final'!$AA$63="Catastrófico"),CONCATENATE("R9C",'Mapa final'!$O$63),"")</f>
        <v/>
      </c>
      <c r="AN44" s="82"/>
      <c r="AO44" s="415"/>
      <c r="AP44" s="416"/>
      <c r="AQ44" s="416"/>
      <c r="AR44" s="416"/>
      <c r="AS44" s="416"/>
      <c r="AT44" s="417"/>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343"/>
      <c r="C45" s="343"/>
      <c r="D45" s="344"/>
      <c r="E45" s="387"/>
      <c r="F45" s="388"/>
      <c r="G45" s="388"/>
      <c r="H45" s="388"/>
      <c r="I45" s="388"/>
      <c r="J45" s="78" t="str">
        <f>IF(AND('Mapa final'!$Y$64="Baja",'Mapa final'!$AA$64="Leve"),CONCATENATE("R10C",'Mapa final'!$O$64),"")</f>
        <v/>
      </c>
      <c r="K45" s="79" t="str">
        <f>IF(AND('Mapa final'!$Y$65="Baja",'Mapa final'!$AA$65="Leve"),CONCATENATE("R10C",'Mapa final'!$O$65),"")</f>
        <v/>
      </c>
      <c r="L45" s="79" t="str">
        <f>IF(AND('Mapa final'!$Y$66="Baja",'Mapa final'!$AA$66="Leve"),CONCATENATE("R10C",'Mapa final'!$O$66),"")</f>
        <v/>
      </c>
      <c r="M45" s="79" t="str">
        <f>IF(AND('Mapa final'!$Y$67="Baja",'Mapa final'!$AA$67="Leve"),CONCATENATE("R10C",'Mapa final'!$O$67),"")</f>
        <v/>
      </c>
      <c r="N45" s="79" t="str">
        <f>IF(AND('Mapa final'!$Y$68="Baja",'Mapa final'!$AA$68="Leve"),CONCATENATE("R10C",'Mapa final'!$O$68),"")</f>
        <v/>
      </c>
      <c r="O45" s="80" t="str">
        <f>IF(AND('Mapa final'!$Y$69="Baja",'Mapa final'!$AA$69="Leve"),CONCATENATE("R10C",'Mapa final'!$O$69),"")</f>
        <v/>
      </c>
      <c r="P45" s="66" t="str">
        <f>IF(AND('Mapa final'!$Y$64="Baja",'Mapa final'!$AA$64="Menor"),CONCATENATE("R10C",'Mapa final'!$O$64),"")</f>
        <v/>
      </c>
      <c r="Q45" s="67" t="str">
        <f>IF(AND('Mapa final'!$Y$65="Baja",'Mapa final'!$AA$65="Menor"),CONCATENATE("R10C",'Mapa final'!$O$65),"")</f>
        <v/>
      </c>
      <c r="R45" s="67" t="str">
        <f>IF(AND('Mapa final'!$Y$66="Baja",'Mapa final'!$AA$66="Menor"),CONCATENATE("R10C",'Mapa final'!$O$66),"")</f>
        <v/>
      </c>
      <c r="S45" s="67" t="str">
        <f>IF(AND('Mapa final'!$Y$67="Baja",'Mapa final'!$AA$67="Menor"),CONCATENATE("R10C",'Mapa final'!$O$67),"")</f>
        <v/>
      </c>
      <c r="T45" s="67" t="str">
        <f>IF(AND('Mapa final'!$Y$68="Baja",'Mapa final'!$AA$68="Menor"),CONCATENATE("R10C",'Mapa final'!$O$68),"")</f>
        <v/>
      </c>
      <c r="U45" s="68" t="str">
        <f>IF(AND('Mapa final'!$Y$69="Baja",'Mapa final'!$AA$69="Menor"),CONCATENATE("R10C",'Mapa final'!$O$69),"")</f>
        <v/>
      </c>
      <c r="V45" s="69" t="str">
        <f>IF(AND('Mapa final'!$Y$64="Baja",'Mapa final'!$AA$64="Moderado"),CONCATENATE("R10C",'Mapa final'!$O$64),"")</f>
        <v/>
      </c>
      <c r="W45" s="70" t="str">
        <f>IF(AND('Mapa final'!$Y$65="Baja",'Mapa final'!$AA$65="Moderado"),CONCATENATE("R10C",'Mapa final'!$O$65),"")</f>
        <v/>
      </c>
      <c r="X45" s="70" t="str">
        <f>IF(AND('Mapa final'!$Y$66="Baja",'Mapa final'!$AA$66="Moderado"),CONCATENATE("R10C",'Mapa final'!$O$66),"")</f>
        <v/>
      </c>
      <c r="Y45" s="70" t="str">
        <f>IF(AND('Mapa final'!$Y$67="Baja",'Mapa final'!$AA$67="Moderado"),CONCATENATE("R10C",'Mapa final'!$O$67),"")</f>
        <v/>
      </c>
      <c r="Z45" s="70" t="str">
        <f>IF(AND('Mapa final'!$Y$68="Baja",'Mapa final'!$AA$68="Moderado"),CONCATENATE("R10C",'Mapa final'!$O$68),"")</f>
        <v/>
      </c>
      <c r="AA45" s="71" t="str">
        <f>IF(AND('Mapa final'!$Y$69="Baja",'Mapa final'!$AA$69="Moderado"),CONCATENATE("R10C",'Mapa final'!$O$69),"")</f>
        <v/>
      </c>
      <c r="AB45" s="57" t="str">
        <f>IF(AND('Mapa final'!$Y$64="Baja",'Mapa final'!$AA$64="Mayor"),CONCATENATE("R10C",'Mapa final'!$O$64),"")</f>
        <v/>
      </c>
      <c r="AC45" s="58" t="str">
        <f>IF(AND('Mapa final'!$Y$65="Baja",'Mapa final'!$AA$65="Mayor"),CONCATENATE("R10C",'Mapa final'!$O$65),"")</f>
        <v/>
      </c>
      <c r="AD45" s="58" t="str">
        <f>IF(AND('Mapa final'!$Y$66="Baja",'Mapa final'!$AA$66="Mayor"),CONCATENATE("R10C",'Mapa final'!$O$66),"")</f>
        <v/>
      </c>
      <c r="AE45" s="58" t="str">
        <f>IF(AND('Mapa final'!$Y$67="Baja",'Mapa final'!$AA$67="Mayor"),CONCATENATE("R10C",'Mapa final'!$O$67),"")</f>
        <v/>
      </c>
      <c r="AF45" s="58" t="str">
        <f>IF(AND('Mapa final'!$Y$68="Baja",'Mapa final'!$AA$68="Mayor"),CONCATENATE("R10C",'Mapa final'!$O$68),"")</f>
        <v/>
      </c>
      <c r="AG45" s="59" t="str">
        <f>IF(AND('Mapa final'!$Y$69="Baja",'Mapa final'!$AA$69="Mayor"),CONCATENATE("R10C",'Mapa final'!$O$69),"")</f>
        <v/>
      </c>
      <c r="AH45" s="60" t="str">
        <f>IF(AND('Mapa final'!$Y$64="Baja",'Mapa final'!$AA$64="Catastrófico"),CONCATENATE("R10C",'Mapa final'!$O$64),"")</f>
        <v/>
      </c>
      <c r="AI45" s="61" t="str">
        <f>IF(AND('Mapa final'!$Y$65="Baja",'Mapa final'!$AA$65="Catastrófico"),CONCATENATE("R10C",'Mapa final'!$O$65),"")</f>
        <v/>
      </c>
      <c r="AJ45" s="61" t="str">
        <f>IF(AND('Mapa final'!$Y$66="Baja",'Mapa final'!$AA$66="Catastrófico"),CONCATENATE("R10C",'Mapa final'!$O$66),"")</f>
        <v/>
      </c>
      <c r="AK45" s="61" t="str">
        <f>IF(AND('Mapa final'!$Y$67="Baja",'Mapa final'!$AA$67="Catastrófico"),CONCATENATE("R10C",'Mapa final'!$O$67),"")</f>
        <v/>
      </c>
      <c r="AL45" s="61" t="str">
        <f>IF(AND('Mapa final'!$Y$68="Baja",'Mapa final'!$AA$68="Catastrófico"),CONCATENATE("R10C",'Mapa final'!$O$68),"")</f>
        <v/>
      </c>
      <c r="AM45" s="62" t="str">
        <f>IF(AND('Mapa final'!$Y$69="Baja",'Mapa final'!$AA$69="Catastrófico"),CONCATENATE("R10C",'Mapa final'!$O$69),"")</f>
        <v/>
      </c>
      <c r="AN45" s="82"/>
      <c r="AO45" s="418"/>
      <c r="AP45" s="419"/>
      <c r="AQ45" s="419"/>
      <c r="AR45" s="419"/>
      <c r="AS45" s="419"/>
      <c r="AT45" s="420"/>
    </row>
    <row r="46" spans="1:80" ht="46.5" customHeight="1" x14ac:dyDescent="0.35">
      <c r="A46" s="82"/>
      <c r="B46" s="343"/>
      <c r="C46" s="343"/>
      <c r="D46" s="344"/>
      <c r="E46" s="381" t="s">
        <v>112</v>
      </c>
      <c r="F46" s="382"/>
      <c r="G46" s="382"/>
      <c r="H46" s="382"/>
      <c r="I46" s="383"/>
      <c r="J46" s="72" t="str">
        <f>IF(AND('Mapa final'!$Y$10="Muy Baja",'Mapa final'!$AA$10="Leve"),CONCATENATE("R1C",'Mapa final'!$O$10),"")</f>
        <v/>
      </c>
      <c r="K46" s="73" t="str">
        <f>IF(AND('Mapa final'!$Y$11="Muy Baja",'Mapa final'!$AA$11="Leve"),CONCATENATE("R1C",'Mapa final'!$O$11),"")</f>
        <v/>
      </c>
      <c r="L46" s="73" t="str">
        <f>IF(AND('Mapa final'!$Y$12="Muy Baja",'Mapa final'!$AA$12="Leve"),CONCATENATE("R1C",'Mapa final'!$O$12),"")</f>
        <v/>
      </c>
      <c r="M46" s="73" t="str">
        <f>IF(AND('Mapa final'!$Y$13="Muy Baja",'Mapa final'!$AA$13="Leve"),CONCATENATE("R1C",'Mapa final'!$O$13),"")</f>
        <v/>
      </c>
      <c r="N46" s="73" t="str">
        <f>IF(AND('Mapa final'!$Y$14="Muy Baja",'Mapa final'!$AA$14="Leve"),CONCATENATE("R1C",'Mapa final'!$O$14),"")</f>
        <v/>
      </c>
      <c r="O46" s="74" t="str">
        <f>IF(AND('Mapa final'!$Y$15="Muy Baja",'Mapa final'!$AA$15="Leve"),CONCATENATE("R1C",'Mapa final'!$O$15),"")</f>
        <v/>
      </c>
      <c r="P46" s="72" t="str">
        <f>IF(AND('Mapa final'!$Y$10="Muy Baja",'Mapa final'!$AA$10="Menor"),CONCATENATE("R1C",'Mapa final'!$O$10),"")</f>
        <v/>
      </c>
      <c r="Q46" s="73" t="str">
        <f>IF(AND('Mapa final'!$Y$11="Muy Baja",'Mapa final'!$AA$11="Menor"),CONCATENATE("R1C",'Mapa final'!$O$11),"")</f>
        <v/>
      </c>
      <c r="R46" s="73" t="str">
        <f>IF(AND('Mapa final'!$Y$12="Muy Baja",'Mapa final'!$AA$12="Menor"),CONCATENATE("R1C",'Mapa final'!$O$12),"")</f>
        <v/>
      </c>
      <c r="S46" s="73" t="str">
        <f>IF(AND('Mapa final'!$Y$13="Muy Baja",'Mapa final'!$AA$13="Menor"),CONCATENATE("R1C",'Mapa final'!$O$13),"")</f>
        <v/>
      </c>
      <c r="T46" s="73" t="str">
        <f>IF(AND('Mapa final'!$Y$14="Muy Baja",'Mapa final'!$AA$14="Menor"),CONCATENATE("R1C",'Mapa final'!$O$14),"")</f>
        <v/>
      </c>
      <c r="U46" s="74" t="str">
        <f>IF(AND('Mapa final'!$Y$15="Muy Baja",'Mapa final'!$AA$15="Menor"),CONCATENATE("R1C",'Mapa final'!$O$15),"")</f>
        <v/>
      </c>
      <c r="V46" s="63" t="str">
        <f>IF(AND('Mapa final'!$Y$10="Muy Baja",'Mapa final'!$AA$10="Moderado"),CONCATENATE("R1C",'Mapa final'!$O$10),"")</f>
        <v/>
      </c>
      <c r="W46" s="81" t="str">
        <f>IF(AND('Mapa final'!$Y$11="Muy Baja",'Mapa final'!$AA$11="Moderado"),CONCATENATE("R1C",'Mapa final'!$O$11),"")</f>
        <v/>
      </c>
      <c r="X46" s="64" t="str">
        <f>IF(AND('Mapa final'!$Y$12="Muy Baja",'Mapa final'!$AA$12="Moderado"),CONCATENATE("R1C",'Mapa final'!$O$12),"")</f>
        <v/>
      </c>
      <c r="Y46" s="64" t="str">
        <f>IF(AND('Mapa final'!$Y$13="Muy Baja",'Mapa final'!$AA$13="Moderado"),CONCATENATE("R1C",'Mapa final'!$O$13),"")</f>
        <v/>
      </c>
      <c r="Z46" s="64" t="str">
        <f>IF(AND('Mapa final'!$Y$14="Muy Baja",'Mapa final'!$AA$14="Moderado"),CONCATENATE("R1C",'Mapa final'!$O$14),"")</f>
        <v/>
      </c>
      <c r="AA46" s="65" t="str">
        <f>IF(AND('Mapa final'!$Y$15="Muy Baja",'Mapa final'!$AA$15="Moderado"),CONCATENATE("R1C",'Mapa final'!$O$15),"")</f>
        <v/>
      </c>
      <c r="AB46" s="45" t="str">
        <f>IF(AND('Mapa final'!$Y$10="Muy Baja",'Mapa final'!$AA$10="Mayor"),CONCATENATE("R1C",'Mapa final'!$O$10),"")</f>
        <v>R1C1</v>
      </c>
      <c r="AC46" s="46" t="str">
        <f>IF(AND('Mapa final'!$Y$11="Muy Baja",'Mapa final'!$AA$11="Mayor"),CONCATENATE("R1C",'Mapa final'!$O$11),"")</f>
        <v>R1C2</v>
      </c>
      <c r="AD46" s="46" t="str">
        <f>IF(AND('Mapa final'!$Y$12="Muy Baja",'Mapa final'!$AA$12="Mayor"),CONCATENATE("R1C",'Mapa final'!$O$12),"")</f>
        <v/>
      </c>
      <c r="AE46" s="46" t="str">
        <f>IF(AND('Mapa final'!$Y$13="Muy Baja",'Mapa final'!$AA$13="Mayor"),CONCATENATE("R1C",'Mapa final'!$O$13),"")</f>
        <v/>
      </c>
      <c r="AF46" s="46" t="str">
        <f>IF(AND('Mapa final'!$Y$14="Muy Baja",'Mapa final'!$AA$14="Mayor"),CONCATENATE("R1C",'Mapa final'!$O$14),"")</f>
        <v/>
      </c>
      <c r="AG46" s="47" t="str">
        <f>IF(AND('Mapa final'!$Y$15="Muy Baja",'Mapa final'!$AA$15="Mayor"),CONCATENATE("R1C",'Mapa final'!$O$15),"")</f>
        <v/>
      </c>
      <c r="AH46" s="48" t="str">
        <f>IF(AND('Mapa final'!$Y$10="Muy Baja",'Mapa final'!$AA$10="Catastrófico"),CONCATENATE("R1C",'Mapa final'!$O$10),"")</f>
        <v/>
      </c>
      <c r="AI46" s="49" t="str">
        <f>IF(AND('Mapa final'!$Y$11="Muy Baja",'Mapa final'!$AA$11="Catastrófico"),CONCATENATE("R1C",'Mapa final'!$O$11),"")</f>
        <v/>
      </c>
      <c r="AJ46" s="49" t="str">
        <f>IF(AND('Mapa final'!$Y$12="Muy Baja",'Mapa final'!$AA$12="Catastrófico"),CONCATENATE("R1C",'Mapa final'!$O$12),"")</f>
        <v/>
      </c>
      <c r="AK46" s="49" t="str">
        <f>IF(AND('Mapa final'!$Y$13="Muy Baja",'Mapa final'!$AA$13="Catastrófico"),CONCATENATE("R1C",'Mapa final'!$O$13),"")</f>
        <v/>
      </c>
      <c r="AL46" s="49" t="str">
        <f>IF(AND('Mapa final'!$Y$14="Muy Baja",'Mapa final'!$AA$14="Catastrófico"),CONCATENATE("R1C",'Mapa final'!$O$14),"")</f>
        <v/>
      </c>
      <c r="AM46" s="50" t="str">
        <f>IF(AND('Mapa final'!$Y$15="Muy Baja",'Mapa final'!$AA$15="Catastrófico"),CONCATENATE("R1C",'Mapa final'!$O$15),"")</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343"/>
      <c r="C47" s="343"/>
      <c r="D47" s="344"/>
      <c r="E47" s="400"/>
      <c r="F47" s="385"/>
      <c r="G47" s="385"/>
      <c r="H47" s="385"/>
      <c r="I47" s="386"/>
      <c r="J47" s="75" t="str">
        <f>IF(AND('Mapa final'!$Y$16="Muy Baja",'Mapa final'!$AA$16="Leve"),CONCATENATE("R2C",'Mapa final'!$O$16),"")</f>
        <v/>
      </c>
      <c r="K47" s="76" t="str">
        <f>IF(AND('Mapa final'!$Y$17="Muy Baja",'Mapa final'!$AA$17="Leve"),CONCATENATE("R2C",'Mapa final'!$O$17),"")</f>
        <v/>
      </c>
      <c r="L47" s="76" t="str">
        <f>IF(AND('Mapa final'!$Y$18="Muy Baja",'Mapa final'!$AA$18="Leve"),CONCATENATE("R2C",'Mapa final'!$O$18),"")</f>
        <v/>
      </c>
      <c r="M47" s="76" t="str">
        <f>IF(AND('Mapa final'!$Y$19="Muy Baja",'Mapa final'!$AA$19="Leve"),CONCATENATE("R2C",'Mapa final'!$O$19),"")</f>
        <v/>
      </c>
      <c r="N47" s="76" t="str">
        <f>IF(AND('Mapa final'!$Y$20="Muy Baja",'Mapa final'!$AA$20="Leve"),CONCATENATE("R2C",'Mapa final'!$O$20),"")</f>
        <v/>
      </c>
      <c r="O47" s="77" t="str">
        <f>IF(AND('Mapa final'!$Y$21="Muy Baja",'Mapa final'!$AA$21="Leve"),CONCATENATE("R2C",'Mapa final'!$O$21),"")</f>
        <v/>
      </c>
      <c r="P47" s="75" t="str">
        <f>IF(AND('Mapa final'!$Y$16="Muy Baja",'Mapa final'!$AA$16="Menor"),CONCATENATE("R2C",'Mapa final'!$O$16),"")</f>
        <v/>
      </c>
      <c r="Q47" s="76" t="str">
        <f>IF(AND('Mapa final'!$Y$17="Muy Baja",'Mapa final'!$AA$17="Menor"),CONCATENATE("R2C",'Mapa final'!$O$17),"")</f>
        <v/>
      </c>
      <c r="R47" s="76" t="str">
        <f>IF(AND('Mapa final'!$Y$18="Muy Baja",'Mapa final'!$AA$18="Menor"),CONCATENATE("R2C",'Mapa final'!$O$18),"")</f>
        <v/>
      </c>
      <c r="S47" s="76" t="str">
        <f>IF(AND('Mapa final'!$Y$19="Muy Baja",'Mapa final'!$AA$19="Menor"),CONCATENATE("R2C",'Mapa final'!$O$19),"")</f>
        <v/>
      </c>
      <c r="T47" s="76" t="str">
        <f>IF(AND('Mapa final'!$Y$20="Muy Baja",'Mapa final'!$AA$20="Menor"),CONCATENATE("R2C",'Mapa final'!$O$20),"")</f>
        <v/>
      </c>
      <c r="U47" s="77" t="str">
        <f>IF(AND('Mapa final'!$Y$21="Muy Baja",'Mapa final'!$AA$21="Menor"),CONCATENATE("R2C",'Mapa final'!$O$21),"")</f>
        <v/>
      </c>
      <c r="V47" s="66" t="str">
        <f>IF(AND('Mapa final'!$Y$16="Muy Baja",'Mapa final'!$AA$16="Moderado"),CONCATENATE("R2C",'Mapa final'!$O$16),"")</f>
        <v/>
      </c>
      <c r="W47" s="67" t="str">
        <f>IF(AND('Mapa final'!$Y$17="Muy Baja",'Mapa final'!$AA$17="Moderado"),CONCATENATE("R2C",'Mapa final'!$O$17),"")</f>
        <v/>
      </c>
      <c r="X47" s="67" t="str">
        <f>IF(AND('Mapa final'!$Y$18="Muy Baja",'Mapa final'!$AA$18="Moderado"),CONCATENATE("R2C",'Mapa final'!$O$18),"")</f>
        <v/>
      </c>
      <c r="Y47" s="67" t="str">
        <f>IF(AND('Mapa final'!$Y$19="Muy Baja",'Mapa final'!$AA$19="Moderado"),CONCATENATE("R2C",'Mapa final'!$O$19),"")</f>
        <v/>
      </c>
      <c r="Z47" s="67" t="str">
        <f>IF(AND('Mapa final'!$Y$20="Muy Baja",'Mapa final'!$AA$20="Moderado"),CONCATENATE("R2C",'Mapa final'!$O$20),"")</f>
        <v/>
      </c>
      <c r="AA47" s="68" t="str">
        <f>IF(AND('Mapa final'!$Y$21="Muy Baja",'Mapa final'!$AA$21="Moderado"),CONCATENATE("R2C",'Mapa final'!$O$21),"")</f>
        <v/>
      </c>
      <c r="AB47" s="51" t="str">
        <f>IF(AND('Mapa final'!$Y$16="Muy Baja",'Mapa final'!$AA$16="Mayor"),CONCATENATE("R2C",'Mapa final'!$O$16),"")</f>
        <v/>
      </c>
      <c r="AC47" s="52" t="str">
        <f>IF(AND('Mapa final'!$Y$17="Muy Baja",'Mapa final'!$AA$17="Mayor"),CONCATENATE("R2C",'Mapa final'!$O$17),"")</f>
        <v>R2C2</v>
      </c>
      <c r="AD47" s="52" t="str">
        <f>IF(AND('Mapa final'!$Y$18="Muy Baja",'Mapa final'!$AA$18="Mayor"),CONCATENATE("R2C",'Mapa final'!$O$18),"")</f>
        <v>R2C3</v>
      </c>
      <c r="AE47" s="52" t="str">
        <f>IF(AND('Mapa final'!$Y$19="Muy Baja",'Mapa final'!$AA$19="Mayor"),CONCATENATE("R2C",'Mapa final'!$O$19),"")</f>
        <v/>
      </c>
      <c r="AF47" s="52" t="str">
        <f>IF(AND('Mapa final'!$Y$20="Muy Baja",'Mapa final'!$AA$20="Mayor"),CONCATENATE("R2C",'Mapa final'!$O$20),"")</f>
        <v/>
      </c>
      <c r="AG47" s="53" t="str">
        <f>IF(AND('Mapa final'!$Y$21="Muy Baja",'Mapa final'!$AA$21="Mayor"),CONCATENATE("R2C",'Mapa final'!$O$21),"")</f>
        <v/>
      </c>
      <c r="AH47" s="54" t="str">
        <f>IF(AND('Mapa final'!$Y$16="Muy Baja",'Mapa final'!$AA$16="Catastrófico"),CONCATENATE("R2C",'Mapa final'!$O$16),"")</f>
        <v/>
      </c>
      <c r="AI47" s="55" t="str">
        <f>IF(AND('Mapa final'!$Y$17="Muy Baja",'Mapa final'!$AA$17="Catastrófico"),CONCATENATE("R2C",'Mapa final'!$O$17),"")</f>
        <v/>
      </c>
      <c r="AJ47" s="55" t="str">
        <f>IF(AND('Mapa final'!$Y$18="Muy Baja",'Mapa final'!$AA$18="Catastrófico"),CONCATENATE("R2C",'Mapa final'!$O$18),"")</f>
        <v/>
      </c>
      <c r="AK47" s="55" t="str">
        <f>IF(AND('Mapa final'!$Y$19="Muy Baja",'Mapa final'!$AA$19="Catastrófico"),CONCATENATE("R2C",'Mapa final'!$O$19),"")</f>
        <v/>
      </c>
      <c r="AL47" s="55" t="str">
        <f>IF(AND('Mapa final'!$Y$20="Muy Baja",'Mapa final'!$AA$20="Catastrófico"),CONCATENATE("R2C",'Mapa final'!$O$20),"")</f>
        <v/>
      </c>
      <c r="AM47" s="56" t="str">
        <f>IF(AND('Mapa final'!$Y$21="Muy Baja",'Mapa final'!$AA$21="Catastrófico"),CONCATENATE("R2C",'Mapa final'!$O$21),"")</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343"/>
      <c r="C48" s="343"/>
      <c r="D48" s="344"/>
      <c r="E48" s="400"/>
      <c r="F48" s="385"/>
      <c r="G48" s="385"/>
      <c r="H48" s="385"/>
      <c r="I48" s="386"/>
      <c r="J48" s="75" t="str">
        <f>IF(AND('Mapa final'!$Y$22="Muy Baja",'Mapa final'!$AA$22="Leve"),CONCATENATE("R3C",'Mapa final'!$O$22),"")</f>
        <v/>
      </c>
      <c r="K48" s="76" t="str">
        <f>IF(AND('Mapa final'!$Y$23="Muy Baja",'Mapa final'!$AA$23="Leve"),CONCATENATE("R3C",'Mapa final'!$O$23),"")</f>
        <v/>
      </c>
      <c r="L48" s="76" t="str">
        <f>IF(AND('Mapa final'!$Y$24="Muy Baja",'Mapa final'!$AA$24="Leve"),CONCATENATE("R3C",'Mapa final'!$O$24),"")</f>
        <v/>
      </c>
      <c r="M48" s="76" t="str">
        <f>IF(AND('Mapa final'!$Y$25="Muy Baja",'Mapa final'!$AA$25="Leve"),CONCATENATE("R3C",'Mapa final'!$O$25),"")</f>
        <v/>
      </c>
      <c r="N48" s="76" t="str">
        <f>IF(AND('Mapa final'!$Y$26="Muy Baja",'Mapa final'!$AA$26="Leve"),CONCATENATE("R3C",'Mapa final'!$O$26),"")</f>
        <v/>
      </c>
      <c r="O48" s="77" t="str">
        <f>IF(AND('Mapa final'!$Y$27="Muy Baja",'Mapa final'!$AA$27="Leve"),CONCATENATE("R3C",'Mapa final'!$O$27),"")</f>
        <v/>
      </c>
      <c r="P48" s="75" t="str">
        <f>IF(AND('Mapa final'!$Y$22="Muy Baja",'Mapa final'!$AA$22="Menor"),CONCATENATE("R3C",'Mapa final'!$O$22),"")</f>
        <v/>
      </c>
      <c r="Q48" s="76" t="str">
        <f>IF(AND('Mapa final'!$Y$23="Muy Baja",'Mapa final'!$AA$23="Menor"),CONCATENATE("R3C",'Mapa final'!$O$23),"")</f>
        <v/>
      </c>
      <c r="R48" s="76" t="str">
        <f>IF(AND('Mapa final'!$Y$24="Muy Baja",'Mapa final'!$AA$24="Menor"),CONCATENATE("R3C",'Mapa final'!$O$24),"")</f>
        <v/>
      </c>
      <c r="S48" s="76" t="str">
        <f>IF(AND('Mapa final'!$Y$25="Muy Baja",'Mapa final'!$AA$25="Menor"),CONCATENATE("R3C",'Mapa final'!$O$25),"")</f>
        <v/>
      </c>
      <c r="T48" s="76" t="str">
        <f>IF(AND('Mapa final'!$Y$26="Muy Baja",'Mapa final'!$AA$26="Menor"),CONCATENATE("R3C",'Mapa final'!$O$26),"")</f>
        <v/>
      </c>
      <c r="U48" s="77" t="str">
        <f>IF(AND('Mapa final'!$Y$27="Muy Baja",'Mapa final'!$AA$27="Menor"),CONCATENATE("R3C",'Mapa final'!$O$27),"")</f>
        <v/>
      </c>
      <c r="V48" s="66" t="str">
        <f>IF(AND('Mapa final'!$Y$22="Muy Baja",'Mapa final'!$AA$22="Moderado"),CONCATENATE("R3C",'Mapa final'!$O$22),"")</f>
        <v/>
      </c>
      <c r="W48" s="67" t="str">
        <f>IF(AND('Mapa final'!$Y$23="Muy Baja",'Mapa final'!$AA$23="Moderado"),CONCATENATE("R3C",'Mapa final'!$O$23),"")</f>
        <v>R3C2</v>
      </c>
      <c r="X48" s="67" t="str">
        <f>IF(AND('Mapa final'!$Y$24="Muy Baja",'Mapa final'!$AA$24="Moderado"),CONCATENATE("R3C",'Mapa final'!$O$24),"")</f>
        <v>R3C3</v>
      </c>
      <c r="Y48" s="67" t="str">
        <f>IF(AND('Mapa final'!$Y$25="Muy Baja",'Mapa final'!$AA$25="Moderado"),CONCATENATE("R3C",'Mapa final'!$O$25),"")</f>
        <v/>
      </c>
      <c r="Z48" s="67" t="str">
        <f>IF(AND('Mapa final'!$Y$26="Muy Baja",'Mapa final'!$AA$26="Moderado"),CONCATENATE("R3C",'Mapa final'!$O$26),"")</f>
        <v/>
      </c>
      <c r="AA48" s="68" t="str">
        <f>IF(AND('Mapa final'!$Y$27="Muy Baja",'Mapa final'!$AA$27="Moderado"),CONCATENATE("R3C",'Mapa final'!$O$27),"")</f>
        <v/>
      </c>
      <c r="AB48" s="51" t="str">
        <f>IF(AND('Mapa final'!$Y$22="Muy Baja",'Mapa final'!$AA$22="Mayor"),CONCATENATE("R3C",'Mapa final'!$O$22),"")</f>
        <v/>
      </c>
      <c r="AC48" s="52" t="str">
        <f>IF(AND('Mapa final'!$Y$23="Muy Baja",'Mapa final'!$AA$23="Mayor"),CONCATENATE("R3C",'Mapa final'!$O$23),"")</f>
        <v/>
      </c>
      <c r="AD48" s="52" t="str">
        <f>IF(AND('Mapa final'!$Y$24="Muy Baja",'Mapa final'!$AA$24="Mayor"),CONCATENATE("R3C",'Mapa final'!$O$24),"")</f>
        <v/>
      </c>
      <c r="AE48" s="52" t="str">
        <f>IF(AND('Mapa final'!$Y$25="Muy Baja",'Mapa final'!$AA$25="Mayor"),CONCATENATE("R3C",'Mapa final'!$O$25),"")</f>
        <v/>
      </c>
      <c r="AF48" s="52" t="str">
        <f>IF(AND('Mapa final'!$Y$26="Muy Baja",'Mapa final'!$AA$26="Mayor"),CONCATENATE("R3C",'Mapa final'!$O$26),"")</f>
        <v/>
      </c>
      <c r="AG48" s="53" t="str">
        <f>IF(AND('Mapa final'!$Y$27="Muy Baja",'Mapa final'!$AA$27="Mayor"),CONCATENATE("R3C",'Mapa final'!$O$27),"")</f>
        <v/>
      </c>
      <c r="AH48" s="54" t="str">
        <f>IF(AND('Mapa final'!$Y$22="Muy Baja",'Mapa final'!$AA$22="Catastrófico"),CONCATENATE("R3C",'Mapa final'!$O$22),"")</f>
        <v/>
      </c>
      <c r="AI48" s="55" t="str">
        <f>IF(AND('Mapa final'!$Y$23="Muy Baja",'Mapa final'!$AA$23="Catastrófico"),CONCATENATE("R3C",'Mapa final'!$O$23),"")</f>
        <v/>
      </c>
      <c r="AJ48" s="55" t="str">
        <f>IF(AND('Mapa final'!$Y$24="Muy Baja",'Mapa final'!$AA$24="Catastrófico"),CONCATENATE("R3C",'Mapa final'!$O$24),"")</f>
        <v/>
      </c>
      <c r="AK48" s="55" t="str">
        <f>IF(AND('Mapa final'!$Y$25="Muy Baja",'Mapa final'!$AA$25="Catastrófico"),CONCATENATE("R3C",'Mapa final'!$O$25),"")</f>
        <v/>
      </c>
      <c r="AL48" s="55" t="str">
        <f>IF(AND('Mapa final'!$Y$26="Muy Baja",'Mapa final'!$AA$26="Catastrófico"),CONCATENATE("R3C",'Mapa final'!$O$26),"")</f>
        <v/>
      </c>
      <c r="AM48" s="56" t="str">
        <f>IF(AND('Mapa final'!$Y$27="Muy Baja",'Mapa final'!$AA$27="Catastrófico"),CONCATENATE("R3C",'Mapa final'!$O$27),"")</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343"/>
      <c r="C49" s="343"/>
      <c r="D49" s="344"/>
      <c r="E49" s="384"/>
      <c r="F49" s="385"/>
      <c r="G49" s="385"/>
      <c r="H49" s="385"/>
      <c r="I49" s="386"/>
      <c r="J49" s="75" t="str">
        <f>IF(AND('Mapa final'!$Y$28="Muy Baja",'Mapa final'!$AA$28="Leve"),CONCATENATE("R4C",'Mapa final'!$O$28),"")</f>
        <v/>
      </c>
      <c r="K49" s="76" t="str">
        <f>IF(AND('Mapa final'!$Y$29="Muy Baja",'Mapa final'!$AA$29="Leve"),CONCATENATE("R4C",'Mapa final'!$O$29),"")</f>
        <v/>
      </c>
      <c r="L49" s="76" t="str">
        <f>IF(AND('Mapa final'!$Y$30="Muy Baja",'Mapa final'!$AA$30="Leve"),CONCATENATE("R4C",'Mapa final'!$O$30),"")</f>
        <v/>
      </c>
      <c r="M49" s="76" t="str">
        <f>IF(AND('Mapa final'!$Y$31="Muy Baja",'Mapa final'!$AA$31="Leve"),CONCATENATE("R4C",'Mapa final'!$O$31),"")</f>
        <v/>
      </c>
      <c r="N49" s="76" t="str">
        <f>IF(AND('Mapa final'!$Y$32="Muy Baja",'Mapa final'!$AA$32="Leve"),CONCATENATE("R4C",'Mapa final'!$O$32),"")</f>
        <v/>
      </c>
      <c r="O49" s="77" t="str">
        <f>IF(AND('Mapa final'!$Y$33="Muy Baja",'Mapa final'!$AA$33="Leve"),CONCATENATE("R4C",'Mapa final'!$O$33),"")</f>
        <v/>
      </c>
      <c r="P49" s="75" t="str">
        <f>IF(AND('Mapa final'!$Y$28="Muy Baja",'Mapa final'!$AA$28="Menor"),CONCATENATE("R4C",'Mapa final'!$O$28),"")</f>
        <v/>
      </c>
      <c r="Q49" s="76" t="str">
        <f>IF(AND('Mapa final'!$Y$29="Muy Baja",'Mapa final'!$AA$29="Menor"),CONCATENATE("R4C",'Mapa final'!$O$29),"")</f>
        <v/>
      </c>
      <c r="R49" s="76" t="str">
        <f>IF(AND('Mapa final'!$Y$30="Muy Baja",'Mapa final'!$AA$30="Menor"),CONCATENATE("R4C",'Mapa final'!$O$30),"")</f>
        <v/>
      </c>
      <c r="S49" s="76" t="str">
        <f>IF(AND('Mapa final'!$Y$31="Muy Baja",'Mapa final'!$AA$31="Menor"),CONCATENATE("R4C",'Mapa final'!$O$31),"")</f>
        <v/>
      </c>
      <c r="T49" s="76" t="str">
        <f>IF(AND('Mapa final'!$Y$32="Muy Baja",'Mapa final'!$AA$32="Menor"),CONCATENATE("R4C",'Mapa final'!$O$32),"")</f>
        <v/>
      </c>
      <c r="U49" s="77" t="str">
        <f>IF(AND('Mapa final'!$Y$33="Muy Baja",'Mapa final'!$AA$33="Menor"),CONCATENATE("R4C",'Mapa final'!$O$33),"")</f>
        <v/>
      </c>
      <c r="V49" s="66" t="str">
        <f>IF(AND('Mapa final'!$Y$28="Muy Baja",'Mapa final'!$AA$28="Moderado"),CONCATENATE("R4C",'Mapa final'!$O$28),"")</f>
        <v/>
      </c>
      <c r="W49" s="67" t="str">
        <f>IF(AND('Mapa final'!$Y$29="Muy Baja",'Mapa final'!$AA$29="Moderado"),CONCATENATE("R4C",'Mapa final'!$O$29),"")</f>
        <v/>
      </c>
      <c r="X49" s="67" t="str">
        <f>IF(AND('Mapa final'!$Y$30="Muy Baja",'Mapa final'!$AA$30="Moderado"),CONCATENATE("R4C",'Mapa final'!$O$30),"")</f>
        <v/>
      </c>
      <c r="Y49" s="67" t="str">
        <f>IF(AND('Mapa final'!$Y$31="Muy Baja",'Mapa final'!$AA$31="Moderado"),CONCATENATE("R4C",'Mapa final'!$O$31),"")</f>
        <v/>
      </c>
      <c r="Z49" s="67" t="str">
        <f>IF(AND('Mapa final'!$Y$32="Muy Baja",'Mapa final'!$AA$32="Moderado"),CONCATENATE("R4C",'Mapa final'!$O$32),"")</f>
        <v/>
      </c>
      <c r="AA49" s="68" t="str">
        <f>IF(AND('Mapa final'!$Y$33="Muy Baja",'Mapa final'!$AA$33="Moderado"),CONCATENATE("R4C",'Mapa final'!$O$33),"")</f>
        <v/>
      </c>
      <c r="AB49" s="51" t="str">
        <f>IF(AND('Mapa final'!$Y$28="Muy Baja",'Mapa final'!$AA$28="Mayor"),CONCATENATE("R4C",'Mapa final'!$O$28),"")</f>
        <v/>
      </c>
      <c r="AC49" s="52" t="str">
        <f>IF(AND('Mapa final'!$Y$29="Muy Baja",'Mapa final'!$AA$29="Mayor"),CONCATENATE("R4C",'Mapa final'!$O$29),"")</f>
        <v/>
      </c>
      <c r="AD49" s="52" t="str">
        <f>IF(AND('Mapa final'!$Y$30="Muy Baja",'Mapa final'!$AA$30="Mayor"),CONCATENATE("R4C",'Mapa final'!$O$30),"")</f>
        <v/>
      </c>
      <c r="AE49" s="52" t="str">
        <f>IF(AND('Mapa final'!$Y$31="Muy Baja",'Mapa final'!$AA$31="Mayor"),CONCATENATE("R4C",'Mapa final'!$O$31),"")</f>
        <v/>
      </c>
      <c r="AF49" s="52" t="str">
        <f>IF(AND('Mapa final'!$Y$32="Muy Baja",'Mapa final'!$AA$32="Mayor"),CONCATENATE("R4C",'Mapa final'!$O$32),"")</f>
        <v/>
      </c>
      <c r="AG49" s="53" t="str">
        <f>IF(AND('Mapa final'!$Y$33="Muy Baja",'Mapa final'!$AA$33="Mayor"),CONCATENATE("R4C",'Mapa final'!$O$33),"")</f>
        <v/>
      </c>
      <c r="AH49" s="54" t="str">
        <f>IF(AND('Mapa final'!$Y$28="Muy Baja",'Mapa final'!$AA$28="Catastrófico"),CONCATENATE("R4C",'Mapa final'!$O$28),"")</f>
        <v/>
      </c>
      <c r="AI49" s="55" t="str">
        <f>IF(AND('Mapa final'!$Y$29="Muy Baja",'Mapa final'!$AA$29="Catastrófico"),CONCATENATE("R4C",'Mapa final'!$O$29),"")</f>
        <v>R4C2</v>
      </c>
      <c r="AJ49" s="55" t="str">
        <f>IF(AND('Mapa final'!$Y$30="Muy Baja",'Mapa final'!$AA$30="Catastrófico"),CONCATENATE("R4C",'Mapa final'!$O$30),"")</f>
        <v>R4C3</v>
      </c>
      <c r="AK49" s="55" t="str">
        <f>IF(AND('Mapa final'!$Y$31="Muy Baja",'Mapa final'!$AA$31="Catastrófico"),CONCATENATE("R4C",'Mapa final'!$O$31),"")</f>
        <v/>
      </c>
      <c r="AL49" s="55" t="str">
        <f>IF(AND('Mapa final'!$Y$32="Muy Baja",'Mapa final'!$AA$32="Catastrófico"),CONCATENATE("R4C",'Mapa final'!$O$32),"")</f>
        <v/>
      </c>
      <c r="AM49" s="56" t="str">
        <f>IF(AND('Mapa final'!$Y$33="Muy Baja",'Mapa final'!$AA$33="Catastrófico"),CONCATENATE("R4C",'Mapa final'!$O$33),"")</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343"/>
      <c r="C50" s="343"/>
      <c r="D50" s="344"/>
      <c r="E50" s="384"/>
      <c r="F50" s="385"/>
      <c r="G50" s="385"/>
      <c r="H50" s="385"/>
      <c r="I50" s="386"/>
      <c r="J50" s="75" t="str">
        <f>IF(AND('Mapa final'!$Y$34="Muy Baja",'Mapa final'!$AA$34="Leve"),CONCATENATE("R5C",'Mapa final'!$O$34),"")</f>
        <v/>
      </c>
      <c r="K50" s="76" t="str">
        <f>IF(AND('Mapa final'!$Y$35="Muy Baja",'Mapa final'!$AA$35="Leve"),CONCATENATE("R5C",'Mapa final'!$O$35),"")</f>
        <v/>
      </c>
      <c r="L50" s="76" t="str">
        <f>IF(AND('Mapa final'!$Y$36="Muy Baja",'Mapa final'!$AA$36="Leve"),CONCATENATE("R5C",'Mapa final'!$O$36),"")</f>
        <v/>
      </c>
      <c r="M50" s="76" t="str">
        <f>IF(AND('Mapa final'!$Y$37="Muy Baja",'Mapa final'!$AA$37="Leve"),CONCATENATE("R5C",'Mapa final'!$O$37),"")</f>
        <v/>
      </c>
      <c r="N50" s="76" t="str">
        <f>IF(AND('Mapa final'!$Y$38="Muy Baja",'Mapa final'!$AA$38="Leve"),CONCATENATE("R5C",'Mapa final'!$O$38),"")</f>
        <v/>
      </c>
      <c r="O50" s="77" t="str">
        <f>IF(AND('Mapa final'!$Y$39="Muy Baja",'Mapa final'!$AA$39="Leve"),CONCATENATE("R5C",'Mapa final'!$O$39),"")</f>
        <v/>
      </c>
      <c r="P50" s="75" t="str">
        <f>IF(AND('Mapa final'!$Y$34="Muy Baja",'Mapa final'!$AA$34="Menor"),CONCATENATE("R5C",'Mapa final'!$O$34),"")</f>
        <v/>
      </c>
      <c r="Q50" s="76" t="str">
        <f>IF(AND('Mapa final'!$Y$35="Muy Baja",'Mapa final'!$AA$35="Menor"),CONCATENATE("R5C",'Mapa final'!$O$35),"")</f>
        <v/>
      </c>
      <c r="R50" s="76" t="str">
        <f>IF(AND('Mapa final'!$Y$36="Muy Baja",'Mapa final'!$AA$36="Menor"),CONCATENATE("R5C",'Mapa final'!$O$36),"")</f>
        <v/>
      </c>
      <c r="S50" s="76" t="str">
        <f>IF(AND('Mapa final'!$Y$37="Muy Baja",'Mapa final'!$AA$37="Menor"),CONCATENATE("R5C",'Mapa final'!$O$37),"")</f>
        <v/>
      </c>
      <c r="T50" s="76" t="str">
        <f>IF(AND('Mapa final'!$Y$38="Muy Baja",'Mapa final'!$AA$38="Menor"),CONCATENATE("R5C",'Mapa final'!$O$38),"")</f>
        <v/>
      </c>
      <c r="U50" s="77" t="str">
        <f>IF(AND('Mapa final'!$Y$39="Muy Baja",'Mapa final'!$AA$39="Menor"),CONCATENATE("R5C",'Mapa final'!$O$39),"")</f>
        <v/>
      </c>
      <c r="V50" s="66" t="str">
        <f>IF(AND('Mapa final'!$Y$34="Muy Baja",'Mapa final'!$AA$34="Moderado"),CONCATENATE("R5C",'Mapa final'!$O$34),"")</f>
        <v/>
      </c>
      <c r="W50" s="67" t="str">
        <f>IF(AND('Mapa final'!$Y$35="Muy Baja",'Mapa final'!$AA$35="Moderado"),CONCATENATE("R5C",'Mapa final'!$O$35),"")</f>
        <v/>
      </c>
      <c r="X50" s="67" t="str">
        <f>IF(AND('Mapa final'!$Y$36="Muy Baja",'Mapa final'!$AA$36="Moderado"),CONCATENATE("R5C",'Mapa final'!$O$36),"")</f>
        <v/>
      </c>
      <c r="Y50" s="67" t="str">
        <f>IF(AND('Mapa final'!$Y$37="Muy Baja",'Mapa final'!$AA$37="Moderado"),CONCATENATE("R5C",'Mapa final'!$O$37),"")</f>
        <v/>
      </c>
      <c r="Z50" s="67" t="str">
        <f>IF(AND('Mapa final'!$Y$38="Muy Baja",'Mapa final'!$AA$38="Moderado"),CONCATENATE("R5C",'Mapa final'!$O$38),"")</f>
        <v/>
      </c>
      <c r="AA50" s="68" t="str">
        <f>IF(AND('Mapa final'!$Y$39="Muy Baja",'Mapa final'!$AA$39="Moderado"),CONCATENATE("R5C",'Mapa final'!$O$39),"")</f>
        <v/>
      </c>
      <c r="AB50" s="51" t="str">
        <f>IF(AND('Mapa final'!$Y$34="Muy Baja",'Mapa final'!$AA$34="Mayor"),CONCATENATE("R5C",'Mapa final'!$O$34),"")</f>
        <v/>
      </c>
      <c r="AC50" s="52" t="str">
        <f>IF(AND('Mapa final'!$Y$35="Muy Baja",'Mapa final'!$AA$35="Mayor"),CONCATENATE("R5C",'Mapa final'!$O$35),"")</f>
        <v/>
      </c>
      <c r="AD50" s="52" t="str">
        <f>IF(AND('Mapa final'!$Y$36="Muy Baja",'Mapa final'!$AA$36="Mayor"),CONCATENATE("R5C",'Mapa final'!$O$36),"")</f>
        <v/>
      </c>
      <c r="AE50" s="52" t="str">
        <f>IF(AND('Mapa final'!$Y$37="Muy Baja",'Mapa final'!$AA$37="Mayor"),CONCATENATE("R5C",'Mapa final'!$O$37),"")</f>
        <v/>
      </c>
      <c r="AF50" s="52" t="str">
        <f>IF(AND('Mapa final'!$Y$38="Muy Baja",'Mapa final'!$AA$38="Mayor"),CONCATENATE("R5C",'Mapa final'!$O$38),"")</f>
        <v/>
      </c>
      <c r="AG50" s="53" t="str">
        <f>IF(AND('Mapa final'!$Y$39="Muy Baja",'Mapa final'!$AA$39="Mayor"),CONCATENATE("R5C",'Mapa final'!$O$39),"")</f>
        <v/>
      </c>
      <c r="AH50" s="54" t="str">
        <f>IF(AND('Mapa final'!$Y$34="Muy Baja",'Mapa final'!$AA$34="Catastrófico"),CONCATENATE("R5C",'Mapa final'!$O$34),"")</f>
        <v/>
      </c>
      <c r="AI50" s="55" t="str">
        <f>IF(AND('Mapa final'!$Y$35="Muy Baja",'Mapa final'!$AA$35="Catastrófico"),CONCATENATE("R5C",'Mapa final'!$O$35),"")</f>
        <v/>
      </c>
      <c r="AJ50" s="55" t="str">
        <f>IF(AND('Mapa final'!$Y$36="Muy Baja",'Mapa final'!$AA$36="Catastrófico"),CONCATENATE("R5C",'Mapa final'!$O$36),"")</f>
        <v/>
      </c>
      <c r="AK50" s="55" t="str">
        <f>IF(AND('Mapa final'!$Y$37="Muy Baja",'Mapa final'!$AA$37="Catastrófico"),CONCATENATE("R5C",'Mapa final'!$O$37),"")</f>
        <v/>
      </c>
      <c r="AL50" s="55" t="str">
        <f>IF(AND('Mapa final'!$Y$38="Muy Baja",'Mapa final'!$AA$38="Catastrófico"),CONCATENATE("R5C",'Mapa final'!$O$38),"")</f>
        <v/>
      </c>
      <c r="AM50" s="56" t="str">
        <f>IF(AND('Mapa final'!$Y$39="Muy Baja",'Mapa final'!$AA$39="Catastrófico"),CONCATENATE("R5C",'Mapa final'!$O$39),"")</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343"/>
      <c r="C51" s="343"/>
      <c r="D51" s="344"/>
      <c r="E51" s="384"/>
      <c r="F51" s="385"/>
      <c r="G51" s="385"/>
      <c r="H51" s="385"/>
      <c r="I51" s="386"/>
      <c r="J51" s="75" t="str">
        <f>IF(AND('Mapa final'!$Y$40="Muy Baja",'Mapa final'!$AA$40="Leve"),CONCATENATE("R6C",'Mapa final'!$O$40),"")</f>
        <v/>
      </c>
      <c r="K51" s="76" t="str">
        <f>IF(AND('Mapa final'!$Y$41="Muy Baja",'Mapa final'!$AA$41="Leve"),CONCATENATE("R6C",'Mapa final'!$O$41),"")</f>
        <v/>
      </c>
      <c r="L51" s="76" t="str">
        <f>IF(AND('Mapa final'!$Y$42="Muy Baja",'Mapa final'!$AA$42="Leve"),CONCATENATE("R6C",'Mapa final'!$O$42),"")</f>
        <v/>
      </c>
      <c r="M51" s="76" t="str">
        <f>IF(AND('Mapa final'!$Y$43="Muy Baja",'Mapa final'!$AA$43="Leve"),CONCATENATE("R6C",'Mapa final'!$O$43),"")</f>
        <v/>
      </c>
      <c r="N51" s="76" t="str">
        <f>IF(AND('Mapa final'!$Y$44="Muy Baja",'Mapa final'!$AA$44="Leve"),CONCATENATE("R6C",'Mapa final'!$O$44),"")</f>
        <v/>
      </c>
      <c r="O51" s="77" t="str">
        <f>IF(AND('Mapa final'!$Y$45="Muy Baja",'Mapa final'!$AA$45="Leve"),CONCATENATE("R6C",'Mapa final'!$O$45),"")</f>
        <v/>
      </c>
      <c r="P51" s="75" t="str">
        <f>IF(AND('Mapa final'!$Y$40="Muy Baja",'Mapa final'!$AA$40="Menor"),CONCATENATE("R6C",'Mapa final'!$O$40),"")</f>
        <v/>
      </c>
      <c r="Q51" s="76" t="str">
        <f>IF(AND('Mapa final'!$Y$41="Muy Baja",'Mapa final'!$AA$41="Menor"),CONCATENATE("R6C",'Mapa final'!$O$41),"")</f>
        <v/>
      </c>
      <c r="R51" s="76" t="str">
        <f>IF(AND('Mapa final'!$Y$42="Muy Baja",'Mapa final'!$AA$42="Menor"),CONCATENATE("R6C",'Mapa final'!$O$42),"")</f>
        <v/>
      </c>
      <c r="S51" s="76" t="str">
        <f>IF(AND('Mapa final'!$Y$43="Muy Baja",'Mapa final'!$AA$43="Menor"),CONCATENATE("R6C",'Mapa final'!$O$43),"")</f>
        <v/>
      </c>
      <c r="T51" s="76" t="str">
        <f>IF(AND('Mapa final'!$Y$44="Muy Baja",'Mapa final'!$AA$44="Menor"),CONCATENATE("R6C",'Mapa final'!$O$44),"")</f>
        <v/>
      </c>
      <c r="U51" s="77" t="str">
        <f>IF(AND('Mapa final'!$Y$45="Muy Baja",'Mapa final'!$AA$45="Menor"),CONCATENATE("R6C",'Mapa final'!$O$45),"")</f>
        <v/>
      </c>
      <c r="V51" s="66" t="str">
        <f>IF(AND('Mapa final'!$Y$40="Muy Baja",'Mapa final'!$AA$40="Moderado"),CONCATENATE("R6C",'Mapa final'!$O$40),"")</f>
        <v/>
      </c>
      <c r="W51" s="67" t="str">
        <f>IF(AND('Mapa final'!$Y$41="Muy Baja",'Mapa final'!$AA$41="Moderado"),CONCATENATE("R6C",'Mapa final'!$O$41),"")</f>
        <v/>
      </c>
      <c r="X51" s="67" t="str">
        <f>IF(AND('Mapa final'!$Y$42="Muy Baja",'Mapa final'!$AA$42="Moderado"),CONCATENATE("R6C",'Mapa final'!$O$42),"")</f>
        <v/>
      </c>
      <c r="Y51" s="67" t="str">
        <f>IF(AND('Mapa final'!$Y$43="Muy Baja",'Mapa final'!$AA$43="Moderado"),CONCATENATE("R6C",'Mapa final'!$O$43),"")</f>
        <v/>
      </c>
      <c r="Z51" s="67" t="str">
        <f>IF(AND('Mapa final'!$Y$44="Muy Baja",'Mapa final'!$AA$44="Moderado"),CONCATENATE("R6C",'Mapa final'!$O$44),"")</f>
        <v/>
      </c>
      <c r="AA51" s="68" t="str">
        <f>IF(AND('Mapa final'!$Y$45="Muy Baja",'Mapa final'!$AA$45="Moderado"),CONCATENATE("R6C",'Mapa final'!$O$45),"")</f>
        <v/>
      </c>
      <c r="AB51" s="51" t="str">
        <f>IF(AND('Mapa final'!$Y$40="Muy Baja",'Mapa final'!$AA$40="Mayor"),CONCATENATE("R6C",'Mapa final'!$O$40),"")</f>
        <v/>
      </c>
      <c r="AC51" s="52" t="str">
        <f>IF(AND('Mapa final'!$Y$41="Muy Baja",'Mapa final'!$AA$41="Mayor"),CONCATENATE("R6C",'Mapa final'!$O$41),"")</f>
        <v/>
      </c>
      <c r="AD51" s="52" t="str">
        <f>IF(AND('Mapa final'!$Y$42="Muy Baja",'Mapa final'!$AA$42="Mayor"),CONCATENATE("R6C",'Mapa final'!$O$42),"")</f>
        <v/>
      </c>
      <c r="AE51" s="52" t="str">
        <f>IF(AND('Mapa final'!$Y$43="Muy Baja",'Mapa final'!$AA$43="Mayor"),CONCATENATE("R6C",'Mapa final'!$O$43),"")</f>
        <v/>
      </c>
      <c r="AF51" s="52" t="str">
        <f>IF(AND('Mapa final'!$Y$44="Muy Baja",'Mapa final'!$AA$44="Mayor"),CONCATENATE("R6C",'Mapa final'!$O$44),"")</f>
        <v/>
      </c>
      <c r="AG51" s="53" t="str">
        <f>IF(AND('Mapa final'!$Y$45="Muy Baja",'Mapa final'!$AA$45="Mayor"),CONCATENATE("R6C",'Mapa final'!$O$45),"")</f>
        <v/>
      </c>
      <c r="AH51" s="54" t="str">
        <f>IF(AND('Mapa final'!$Y$40="Muy Baja",'Mapa final'!$AA$40="Catastrófico"),CONCATENATE("R6C",'Mapa final'!$O$40),"")</f>
        <v/>
      </c>
      <c r="AI51" s="55" t="str">
        <f>IF(AND('Mapa final'!$Y$41="Muy Baja",'Mapa final'!$AA$41="Catastrófico"),CONCATENATE("R6C",'Mapa final'!$O$41),"")</f>
        <v/>
      </c>
      <c r="AJ51" s="55" t="str">
        <f>IF(AND('Mapa final'!$Y$42="Muy Baja",'Mapa final'!$AA$42="Catastrófico"),CONCATENATE("R6C",'Mapa final'!$O$42),"")</f>
        <v/>
      </c>
      <c r="AK51" s="55" t="str">
        <f>IF(AND('Mapa final'!$Y$43="Muy Baja",'Mapa final'!$AA$43="Catastrófico"),CONCATENATE("R6C",'Mapa final'!$O$43),"")</f>
        <v/>
      </c>
      <c r="AL51" s="55" t="str">
        <f>IF(AND('Mapa final'!$Y$44="Muy Baja",'Mapa final'!$AA$44="Catastrófico"),CONCATENATE("R6C",'Mapa final'!$O$44),"")</f>
        <v/>
      </c>
      <c r="AM51" s="56" t="str">
        <f>IF(AND('Mapa final'!$Y$45="Muy Baja",'Mapa final'!$AA$45="Catastrófico"),CONCATENATE("R6C",'Mapa final'!$O$45),"")</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343"/>
      <c r="C52" s="343"/>
      <c r="D52" s="344"/>
      <c r="E52" s="384"/>
      <c r="F52" s="385"/>
      <c r="G52" s="385"/>
      <c r="H52" s="385"/>
      <c r="I52" s="386"/>
      <c r="J52" s="75" t="str">
        <f>IF(AND('Mapa final'!$Y$46="Muy Baja",'Mapa final'!$AA$46="Leve"),CONCATENATE("R7C",'Mapa final'!$O$46),"")</f>
        <v/>
      </c>
      <c r="K52" s="76" t="str">
        <f>IF(AND('Mapa final'!$Y$47="Muy Baja",'Mapa final'!$AA$47="Leve"),CONCATENATE("R7C",'Mapa final'!$O$47),"")</f>
        <v/>
      </c>
      <c r="L52" s="76" t="str">
        <f>IF(AND('Mapa final'!$Y$48="Muy Baja",'Mapa final'!$AA$48="Leve"),CONCATENATE("R7C",'Mapa final'!$O$48),"")</f>
        <v/>
      </c>
      <c r="M52" s="76" t="str">
        <f>IF(AND('Mapa final'!$Y$49="Muy Baja",'Mapa final'!$AA$49="Leve"),CONCATENATE("R7C",'Mapa final'!$O$49),"")</f>
        <v/>
      </c>
      <c r="N52" s="76" t="str">
        <f>IF(AND('Mapa final'!$Y$50="Muy Baja",'Mapa final'!$AA$50="Leve"),CONCATENATE("R7C",'Mapa final'!$O$50),"")</f>
        <v/>
      </c>
      <c r="O52" s="77" t="str">
        <f>IF(AND('Mapa final'!$Y$51="Muy Baja",'Mapa final'!$AA$51="Leve"),CONCATENATE("R7C",'Mapa final'!$O$51),"")</f>
        <v/>
      </c>
      <c r="P52" s="75" t="str">
        <f>IF(AND('Mapa final'!$Y$46="Muy Baja",'Mapa final'!$AA$46="Menor"),CONCATENATE("R7C",'Mapa final'!$O$46),"")</f>
        <v/>
      </c>
      <c r="Q52" s="76" t="str">
        <f>IF(AND('Mapa final'!$Y$47="Muy Baja",'Mapa final'!$AA$47="Menor"),CONCATENATE("R7C",'Mapa final'!$O$47),"")</f>
        <v/>
      </c>
      <c r="R52" s="76" t="str">
        <f>IF(AND('Mapa final'!$Y$48="Muy Baja",'Mapa final'!$AA$48="Menor"),CONCATENATE("R7C",'Mapa final'!$O$48),"")</f>
        <v/>
      </c>
      <c r="S52" s="76" t="str">
        <f>IF(AND('Mapa final'!$Y$49="Muy Baja",'Mapa final'!$AA$49="Menor"),CONCATENATE("R7C",'Mapa final'!$O$49),"")</f>
        <v/>
      </c>
      <c r="T52" s="76" t="str">
        <f>IF(AND('Mapa final'!$Y$50="Muy Baja",'Mapa final'!$AA$50="Menor"),CONCATENATE("R7C",'Mapa final'!$O$50),"")</f>
        <v/>
      </c>
      <c r="U52" s="77" t="str">
        <f>IF(AND('Mapa final'!$Y$51="Muy Baja",'Mapa final'!$AA$51="Menor"),CONCATENATE("R7C",'Mapa final'!$O$51),"")</f>
        <v/>
      </c>
      <c r="V52" s="66" t="str">
        <f>IF(AND('Mapa final'!$Y$46="Muy Baja",'Mapa final'!$AA$46="Moderado"),CONCATENATE("R7C",'Mapa final'!$O$46),"")</f>
        <v/>
      </c>
      <c r="W52" s="67" t="str">
        <f>IF(AND('Mapa final'!$Y$47="Muy Baja",'Mapa final'!$AA$47="Moderado"),CONCATENATE("R7C",'Mapa final'!$O$47),"")</f>
        <v/>
      </c>
      <c r="X52" s="67" t="str">
        <f>IF(AND('Mapa final'!$Y$48="Muy Baja",'Mapa final'!$AA$48="Moderado"),CONCATENATE("R7C",'Mapa final'!$O$48),"")</f>
        <v/>
      </c>
      <c r="Y52" s="67" t="str">
        <f>IF(AND('Mapa final'!$Y$49="Muy Baja",'Mapa final'!$AA$49="Moderado"),CONCATENATE("R7C",'Mapa final'!$O$49),"")</f>
        <v/>
      </c>
      <c r="Z52" s="67" t="str">
        <f>IF(AND('Mapa final'!$Y$50="Muy Baja",'Mapa final'!$AA$50="Moderado"),CONCATENATE("R7C",'Mapa final'!$O$50),"")</f>
        <v/>
      </c>
      <c r="AA52" s="68" t="str">
        <f>IF(AND('Mapa final'!$Y$51="Muy Baja",'Mapa final'!$AA$51="Moderado"),CONCATENATE("R7C",'Mapa final'!$O$51),"")</f>
        <v/>
      </c>
      <c r="AB52" s="51" t="str">
        <f>IF(AND('Mapa final'!$Y$46="Muy Baja",'Mapa final'!$AA$46="Mayor"),CONCATENATE("R7C",'Mapa final'!$O$46),"")</f>
        <v/>
      </c>
      <c r="AC52" s="52" t="str">
        <f>IF(AND('Mapa final'!$Y$47="Muy Baja",'Mapa final'!$AA$47="Mayor"),CONCATENATE("R7C",'Mapa final'!$O$47),"")</f>
        <v/>
      </c>
      <c r="AD52" s="52" t="str">
        <f>IF(AND('Mapa final'!$Y$48="Muy Baja",'Mapa final'!$AA$48="Mayor"),CONCATENATE("R7C",'Mapa final'!$O$48),"")</f>
        <v/>
      </c>
      <c r="AE52" s="52" t="str">
        <f>IF(AND('Mapa final'!$Y$49="Muy Baja",'Mapa final'!$AA$49="Mayor"),CONCATENATE("R7C",'Mapa final'!$O$49),"")</f>
        <v/>
      </c>
      <c r="AF52" s="52" t="str">
        <f>IF(AND('Mapa final'!$Y$50="Muy Baja",'Mapa final'!$AA$50="Mayor"),CONCATENATE("R7C",'Mapa final'!$O$50),"")</f>
        <v/>
      </c>
      <c r="AG52" s="53" t="str">
        <f>IF(AND('Mapa final'!$Y$51="Muy Baja",'Mapa final'!$AA$51="Mayor"),CONCATENATE("R7C",'Mapa final'!$O$51),"")</f>
        <v/>
      </c>
      <c r="AH52" s="54" t="str">
        <f>IF(AND('Mapa final'!$Y$46="Muy Baja",'Mapa final'!$AA$46="Catastrófico"),CONCATENATE("R7C",'Mapa final'!$O$46),"")</f>
        <v/>
      </c>
      <c r="AI52" s="55" t="str">
        <f>IF(AND('Mapa final'!$Y$47="Muy Baja",'Mapa final'!$AA$47="Catastrófico"),CONCATENATE("R7C",'Mapa final'!$O$47),"")</f>
        <v/>
      </c>
      <c r="AJ52" s="55" t="str">
        <f>IF(AND('Mapa final'!$Y$48="Muy Baja",'Mapa final'!$AA$48="Catastrófico"),CONCATENATE("R7C",'Mapa final'!$O$48),"")</f>
        <v/>
      </c>
      <c r="AK52" s="55" t="str">
        <f>IF(AND('Mapa final'!$Y$49="Muy Baja",'Mapa final'!$AA$49="Catastrófico"),CONCATENATE("R7C",'Mapa final'!$O$49),"")</f>
        <v/>
      </c>
      <c r="AL52" s="55" t="str">
        <f>IF(AND('Mapa final'!$Y$50="Muy Baja",'Mapa final'!$AA$50="Catastrófico"),CONCATENATE("R7C",'Mapa final'!$O$50),"")</f>
        <v/>
      </c>
      <c r="AM52" s="56" t="str">
        <f>IF(AND('Mapa final'!$Y$51="Muy Baja",'Mapa final'!$AA$51="Catastrófico"),CONCATENATE("R7C",'Mapa final'!$O$51),"")</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343"/>
      <c r="C53" s="343"/>
      <c r="D53" s="344"/>
      <c r="E53" s="384"/>
      <c r="F53" s="385"/>
      <c r="G53" s="385"/>
      <c r="H53" s="385"/>
      <c r="I53" s="386"/>
      <c r="J53" s="75" t="str">
        <f>IF(AND('Mapa final'!$Y$52="Muy Baja",'Mapa final'!$AA$52="Leve"),CONCATENATE("R8C",'Mapa final'!$O$52),"")</f>
        <v/>
      </c>
      <c r="K53" s="76" t="str">
        <f>IF(AND('Mapa final'!$Y$53="Muy Baja",'Mapa final'!$AA$53="Leve"),CONCATENATE("R8C",'Mapa final'!$O$53),"")</f>
        <v/>
      </c>
      <c r="L53" s="76" t="str">
        <f>IF(AND('Mapa final'!$Y$54="Muy Baja",'Mapa final'!$AA$54="Leve"),CONCATENATE("R8C",'Mapa final'!$O$54),"")</f>
        <v/>
      </c>
      <c r="M53" s="76" t="str">
        <f>IF(AND('Mapa final'!$Y$55="Muy Baja",'Mapa final'!$AA$55="Leve"),CONCATENATE("R8C",'Mapa final'!$O$55),"")</f>
        <v/>
      </c>
      <c r="N53" s="76" t="str">
        <f>IF(AND('Mapa final'!$Y$56="Muy Baja",'Mapa final'!$AA$56="Leve"),CONCATENATE("R8C",'Mapa final'!$O$56),"")</f>
        <v/>
      </c>
      <c r="O53" s="77" t="str">
        <f>IF(AND('Mapa final'!$Y$57="Muy Baja",'Mapa final'!$AA$57="Leve"),CONCATENATE("R8C",'Mapa final'!$O$57),"")</f>
        <v/>
      </c>
      <c r="P53" s="75" t="str">
        <f>IF(AND('Mapa final'!$Y$52="Muy Baja",'Mapa final'!$AA$52="Menor"),CONCATENATE("R8C",'Mapa final'!$O$52),"")</f>
        <v/>
      </c>
      <c r="Q53" s="76" t="str">
        <f>IF(AND('Mapa final'!$Y$53="Muy Baja",'Mapa final'!$AA$53="Menor"),CONCATENATE("R8C",'Mapa final'!$O$53),"")</f>
        <v/>
      </c>
      <c r="R53" s="76" t="str">
        <f>IF(AND('Mapa final'!$Y$54="Muy Baja",'Mapa final'!$AA$54="Menor"),CONCATENATE("R8C",'Mapa final'!$O$54),"")</f>
        <v/>
      </c>
      <c r="S53" s="76" t="str">
        <f>IF(AND('Mapa final'!$Y$55="Muy Baja",'Mapa final'!$AA$55="Menor"),CONCATENATE("R8C",'Mapa final'!$O$55),"")</f>
        <v/>
      </c>
      <c r="T53" s="76" t="str">
        <f>IF(AND('Mapa final'!$Y$56="Muy Baja",'Mapa final'!$AA$56="Menor"),CONCATENATE("R8C",'Mapa final'!$O$56),"")</f>
        <v/>
      </c>
      <c r="U53" s="77" t="str">
        <f>IF(AND('Mapa final'!$Y$57="Muy Baja",'Mapa final'!$AA$57="Menor"),CONCATENATE("R8C",'Mapa final'!$O$57),"")</f>
        <v/>
      </c>
      <c r="V53" s="66" t="str">
        <f>IF(AND('Mapa final'!$Y$52="Muy Baja",'Mapa final'!$AA$52="Moderado"),CONCATENATE("R8C",'Mapa final'!$O$52),"")</f>
        <v/>
      </c>
      <c r="W53" s="67" t="str">
        <f>IF(AND('Mapa final'!$Y$53="Muy Baja",'Mapa final'!$AA$53="Moderado"),CONCATENATE("R8C",'Mapa final'!$O$53),"")</f>
        <v/>
      </c>
      <c r="X53" s="67" t="str">
        <f>IF(AND('Mapa final'!$Y$54="Muy Baja",'Mapa final'!$AA$54="Moderado"),CONCATENATE("R8C",'Mapa final'!$O$54),"")</f>
        <v/>
      </c>
      <c r="Y53" s="67" t="str">
        <f>IF(AND('Mapa final'!$Y$55="Muy Baja",'Mapa final'!$AA$55="Moderado"),CONCATENATE("R8C",'Mapa final'!$O$55),"")</f>
        <v/>
      </c>
      <c r="Z53" s="67" t="str">
        <f>IF(AND('Mapa final'!$Y$56="Muy Baja",'Mapa final'!$AA$56="Moderado"),CONCATENATE("R8C",'Mapa final'!$O$56),"")</f>
        <v/>
      </c>
      <c r="AA53" s="68" t="str">
        <f>IF(AND('Mapa final'!$Y$57="Muy Baja",'Mapa final'!$AA$57="Moderado"),CONCATENATE("R8C",'Mapa final'!$O$57),"")</f>
        <v/>
      </c>
      <c r="AB53" s="51" t="str">
        <f>IF(AND('Mapa final'!$Y$52="Muy Baja",'Mapa final'!$AA$52="Mayor"),CONCATENATE("R8C",'Mapa final'!$O$52),"")</f>
        <v/>
      </c>
      <c r="AC53" s="52" t="str">
        <f>IF(AND('Mapa final'!$Y$53="Muy Baja",'Mapa final'!$AA$53="Mayor"),CONCATENATE("R8C",'Mapa final'!$O$53),"")</f>
        <v/>
      </c>
      <c r="AD53" s="52" t="str">
        <f>IF(AND('Mapa final'!$Y$54="Muy Baja",'Mapa final'!$AA$54="Mayor"),CONCATENATE("R8C",'Mapa final'!$O$54),"")</f>
        <v/>
      </c>
      <c r="AE53" s="52" t="str">
        <f>IF(AND('Mapa final'!$Y$55="Muy Baja",'Mapa final'!$AA$55="Mayor"),CONCATENATE("R8C",'Mapa final'!$O$55),"")</f>
        <v/>
      </c>
      <c r="AF53" s="52" t="str">
        <f>IF(AND('Mapa final'!$Y$56="Muy Baja",'Mapa final'!$AA$56="Mayor"),CONCATENATE("R8C",'Mapa final'!$O$56),"")</f>
        <v/>
      </c>
      <c r="AG53" s="53" t="str">
        <f>IF(AND('Mapa final'!$Y$57="Muy Baja",'Mapa final'!$AA$57="Mayor"),CONCATENATE("R8C",'Mapa final'!$O$57),"")</f>
        <v/>
      </c>
      <c r="AH53" s="54" t="str">
        <f>IF(AND('Mapa final'!$Y$52="Muy Baja",'Mapa final'!$AA$52="Catastrófico"),CONCATENATE("R8C",'Mapa final'!$O$52),"")</f>
        <v/>
      </c>
      <c r="AI53" s="55" t="str">
        <f>IF(AND('Mapa final'!$Y$53="Muy Baja",'Mapa final'!$AA$53="Catastrófico"),CONCATENATE("R8C",'Mapa final'!$O$53),"")</f>
        <v/>
      </c>
      <c r="AJ53" s="55" t="str">
        <f>IF(AND('Mapa final'!$Y$54="Muy Baja",'Mapa final'!$AA$54="Catastrófico"),CONCATENATE("R8C",'Mapa final'!$O$54),"")</f>
        <v/>
      </c>
      <c r="AK53" s="55" t="str">
        <f>IF(AND('Mapa final'!$Y$55="Muy Baja",'Mapa final'!$AA$55="Catastrófico"),CONCATENATE("R8C",'Mapa final'!$O$55),"")</f>
        <v/>
      </c>
      <c r="AL53" s="55" t="str">
        <f>IF(AND('Mapa final'!$Y$56="Muy Baja",'Mapa final'!$AA$56="Catastrófico"),CONCATENATE("R8C",'Mapa final'!$O$56),"")</f>
        <v/>
      </c>
      <c r="AM53" s="56" t="str">
        <f>IF(AND('Mapa final'!$Y$57="Muy Baja",'Mapa final'!$AA$57="Catastrófico"),CONCATENATE("R8C",'Mapa final'!$O$57),"")</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343"/>
      <c r="C54" s="343"/>
      <c r="D54" s="344"/>
      <c r="E54" s="384"/>
      <c r="F54" s="385"/>
      <c r="G54" s="385"/>
      <c r="H54" s="385"/>
      <c r="I54" s="386"/>
      <c r="J54" s="75" t="str">
        <f>IF(AND('Mapa final'!$Y$58="Muy Baja",'Mapa final'!$AA$58="Leve"),CONCATENATE("R9C",'Mapa final'!$O$58),"")</f>
        <v/>
      </c>
      <c r="K54" s="76" t="str">
        <f>IF(AND('Mapa final'!$Y$59="Muy Baja",'Mapa final'!$AA$59="Leve"),CONCATENATE("R9C",'Mapa final'!$O$59),"")</f>
        <v/>
      </c>
      <c r="L54" s="76" t="str">
        <f>IF(AND('Mapa final'!$Y$60="Muy Baja",'Mapa final'!$AA$60="Leve"),CONCATENATE("R9C",'Mapa final'!$O$60),"")</f>
        <v/>
      </c>
      <c r="M54" s="76" t="str">
        <f>IF(AND('Mapa final'!$Y$61="Muy Baja",'Mapa final'!$AA$61="Leve"),CONCATENATE("R9C",'Mapa final'!$O$61),"")</f>
        <v/>
      </c>
      <c r="N54" s="76" t="str">
        <f>IF(AND('Mapa final'!$Y$62="Muy Baja",'Mapa final'!$AA$62="Leve"),CONCATENATE("R9C",'Mapa final'!$O$62),"")</f>
        <v/>
      </c>
      <c r="O54" s="77" t="str">
        <f>IF(AND('Mapa final'!$Y$63="Muy Baja",'Mapa final'!$AA$63="Leve"),CONCATENATE("R9C",'Mapa final'!$O$63),"")</f>
        <v/>
      </c>
      <c r="P54" s="75" t="str">
        <f>IF(AND('Mapa final'!$Y$58="Muy Baja",'Mapa final'!$AA$58="Menor"),CONCATENATE("R9C",'Mapa final'!$O$58),"")</f>
        <v/>
      </c>
      <c r="Q54" s="76" t="str">
        <f>IF(AND('Mapa final'!$Y$59="Muy Baja",'Mapa final'!$AA$59="Menor"),CONCATENATE("R9C",'Mapa final'!$O$59),"")</f>
        <v/>
      </c>
      <c r="R54" s="76" t="str">
        <f>IF(AND('Mapa final'!$Y$60="Muy Baja",'Mapa final'!$AA$60="Menor"),CONCATENATE("R9C",'Mapa final'!$O$60),"")</f>
        <v/>
      </c>
      <c r="S54" s="76" t="str">
        <f>IF(AND('Mapa final'!$Y$61="Muy Baja",'Mapa final'!$AA$61="Menor"),CONCATENATE("R9C",'Mapa final'!$O$61),"")</f>
        <v/>
      </c>
      <c r="T54" s="76" t="str">
        <f>IF(AND('Mapa final'!$Y$62="Muy Baja",'Mapa final'!$AA$62="Menor"),CONCATENATE("R9C",'Mapa final'!$O$62),"")</f>
        <v/>
      </c>
      <c r="U54" s="77" t="str">
        <f>IF(AND('Mapa final'!$Y$63="Muy Baja",'Mapa final'!$AA$63="Menor"),CONCATENATE("R9C",'Mapa final'!$O$63),"")</f>
        <v/>
      </c>
      <c r="V54" s="66" t="str">
        <f>IF(AND('Mapa final'!$Y$58="Muy Baja",'Mapa final'!$AA$58="Moderado"),CONCATENATE("R9C",'Mapa final'!$O$58),"")</f>
        <v/>
      </c>
      <c r="W54" s="67" t="str">
        <f>IF(AND('Mapa final'!$Y$59="Muy Baja",'Mapa final'!$AA$59="Moderado"),CONCATENATE("R9C",'Mapa final'!$O$59),"")</f>
        <v/>
      </c>
      <c r="X54" s="67" t="str">
        <f>IF(AND('Mapa final'!$Y$60="Muy Baja",'Mapa final'!$AA$60="Moderado"),CONCATENATE("R9C",'Mapa final'!$O$60),"")</f>
        <v/>
      </c>
      <c r="Y54" s="67" t="str">
        <f>IF(AND('Mapa final'!$Y$61="Muy Baja",'Mapa final'!$AA$61="Moderado"),CONCATENATE("R9C",'Mapa final'!$O$61),"")</f>
        <v/>
      </c>
      <c r="Z54" s="67" t="str">
        <f>IF(AND('Mapa final'!$Y$62="Muy Baja",'Mapa final'!$AA$62="Moderado"),CONCATENATE("R9C",'Mapa final'!$O$62),"")</f>
        <v/>
      </c>
      <c r="AA54" s="68" t="str">
        <f>IF(AND('Mapa final'!$Y$63="Muy Baja",'Mapa final'!$AA$63="Moderado"),CONCATENATE("R9C",'Mapa final'!$O$63),"")</f>
        <v/>
      </c>
      <c r="AB54" s="51" t="str">
        <f>IF(AND('Mapa final'!$Y$58="Muy Baja",'Mapa final'!$AA$58="Mayor"),CONCATENATE("R9C",'Mapa final'!$O$58),"")</f>
        <v/>
      </c>
      <c r="AC54" s="52" t="str">
        <f>IF(AND('Mapa final'!$Y$59="Muy Baja",'Mapa final'!$AA$59="Mayor"),CONCATENATE("R9C",'Mapa final'!$O$59),"")</f>
        <v/>
      </c>
      <c r="AD54" s="52" t="str">
        <f>IF(AND('Mapa final'!$Y$60="Muy Baja",'Mapa final'!$AA$60="Mayor"),CONCATENATE("R9C",'Mapa final'!$O$60),"")</f>
        <v/>
      </c>
      <c r="AE54" s="52" t="str">
        <f>IF(AND('Mapa final'!$Y$61="Muy Baja",'Mapa final'!$AA$61="Mayor"),CONCATENATE("R9C",'Mapa final'!$O$61),"")</f>
        <v/>
      </c>
      <c r="AF54" s="52" t="str">
        <f>IF(AND('Mapa final'!$Y$62="Muy Baja",'Mapa final'!$AA$62="Mayor"),CONCATENATE("R9C",'Mapa final'!$O$62),"")</f>
        <v/>
      </c>
      <c r="AG54" s="53" t="str">
        <f>IF(AND('Mapa final'!$Y$63="Muy Baja",'Mapa final'!$AA$63="Mayor"),CONCATENATE("R9C",'Mapa final'!$O$63),"")</f>
        <v/>
      </c>
      <c r="AH54" s="54" t="str">
        <f>IF(AND('Mapa final'!$Y$58="Muy Baja",'Mapa final'!$AA$58="Catastrófico"),CONCATENATE("R9C",'Mapa final'!$O$58),"")</f>
        <v/>
      </c>
      <c r="AI54" s="55" t="str">
        <f>IF(AND('Mapa final'!$Y$59="Muy Baja",'Mapa final'!$AA$59="Catastrófico"),CONCATENATE("R9C",'Mapa final'!$O$59),"")</f>
        <v/>
      </c>
      <c r="AJ54" s="55" t="str">
        <f>IF(AND('Mapa final'!$Y$60="Muy Baja",'Mapa final'!$AA$60="Catastrófico"),CONCATENATE("R9C",'Mapa final'!$O$60),"")</f>
        <v/>
      </c>
      <c r="AK54" s="55" t="str">
        <f>IF(AND('Mapa final'!$Y$61="Muy Baja",'Mapa final'!$AA$61="Catastrófico"),CONCATENATE("R9C",'Mapa final'!$O$61),"")</f>
        <v/>
      </c>
      <c r="AL54" s="55" t="str">
        <f>IF(AND('Mapa final'!$Y$62="Muy Baja",'Mapa final'!$AA$62="Catastrófico"),CONCATENATE("R9C",'Mapa final'!$O$62),"")</f>
        <v/>
      </c>
      <c r="AM54" s="56" t="str">
        <f>IF(AND('Mapa final'!$Y$63="Muy Baja",'Mapa final'!$AA$63="Catastrófico"),CONCATENATE("R9C",'Mapa final'!$O$63),"")</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343"/>
      <c r="C55" s="343"/>
      <c r="D55" s="344"/>
      <c r="E55" s="387"/>
      <c r="F55" s="388"/>
      <c r="G55" s="388"/>
      <c r="H55" s="388"/>
      <c r="I55" s="389"/>
      <c r="J55" s="78" t="str">
        <f>IF(AND('Mapa final'!$Y$64="Muy Baja",'Mapa final'!$AA$64="Leve"),CONCATENATE("R10C",'Mapa final'!$O$64),"")</f>
        <v/>
      </c>
      <c r="K55" s="79" t="str">
        <f>IF(AND('Mapa final'!$Y$65="Muy Baja",'Mapa final'!$AA$65="Leve"),CONCATENATE("R10C",'Mapa final'!$O$65),"")</f>
        <v/>
      </c>
      <c r="L55" s="79" t="str">
        <f>IF(AND('Mapa final'!$Y$66="Muy Baja",'Mapa final'!$AA$66="Leve"),CONCATENATE("R10C",'Mapa final'!$O$66),"")</f>
        <v/>
      </c>
      <c r="M55" s="79" t="str">
        <f>IF(AND('Mapa final'!$Y$67="Muy Baja",'Mapa final'!$AA$67="Leve"),CONCATENATE("R10C",'Mapa final'!$O$67),"")</f>
        <v/>
      </c>
      <c r="N55" s="79" t="str">
        <f>IF(AND('Mapa final'!$Y$68="Muy Baja",'Mapa final'!$AA$68="Leve"),CONCATENATE("R10C",'Mapa final'!$O$68),"")</f>
        <v/>
      </c>
      <c r="O55" s="80" t="str">
        <f>IF(AND('Mapa final'!$Y$69="Muy Baja",'Mapa final'!$AA$69="Leve"),CONCATENATE("R10C",'Mapa final'!$O$69),"")</f>
        <v/>
      </c>
      <c r="P55" s="78" t="str">
        <f>IF(AND('Mapa final'!$Y$64="Muy Baja",'Mapa final'!$AA$64="Menor"),CONCATENATE("R10C",'Mapa final'!$O$64),"")</f>
        <v/>
      </c>
      <c r="Q55" s="79" t="str">
        <f>IF(AND('Mapa final'!$Y$65="Muy Baja",'Mapa final'!$AA$65="Menor"),CONCATENATE("R10C",'Mapa final'!$O$65),"")</f>
        <v/>
      </c>
      <c r="R55" s="79" t="str">
        <f>IF(AND('Mapa final'!$Y$66="Muy Baja",'Mapa final'!$AA$66="Menor"),CONCATENATE("R10C",'Mapa final'!$O$66),"")</f>
        <v/>
      </c>
      <c r="S55" s="79" t="str">
        <f>IF(AND('Mapa final'!$Y$67="Muy Baja",'Mapa final'!$AA$67="Menor"),CONCATENATE("R10C",'Mapa final'!$O$67),"")</f>
        <v/>
      </c>
      <c r="T55" s="79" t="str">
        <f>IF(AND('Mapa final'!$Y$68="Muy Baja",'Mapa final'!$AA$68="Menor"),CONCATENATE("R10C",'Mapa final'!$O$68),"")</f>
        <v/>
      </c>
      <c r="U55" s="80" t="str">
        <f>IF(AND('Mapa final'!$Y$69="Muy Baja",'Mapa final'!$AA$69="Menor"),CONCATENATE("R10C",'Mapa final'!$O$69),"")</f>
        <v/>
      </c>
      <c r="V55" s="69" t="str">
        <f>IF(AND('Mapa final'!$Y$64="Muy Baja",'Mapa final'!$AA$64="Moderado"),CONCATENATE("R10C",'Mapa final'!$O$64),"")</f>
        <v/>
      </c>
      <c r="W55" s="70" t="str">
        <f>IF(AND('Mapa final'!$Y$65="Muy Baja",'Mapa final'!$AA$65="Moderado"),CONCATENATE("R10C",'Mapa final'!$O$65),"")</f>
        <v/>
      </c>
      <c r="X55" s="70" t="str">
        <f>IF(AND('Mapa final'!$Y$66="Muy Baja",'Mapa final'!$AA$66="Moderado"),CONCATENATE("R10C",'Mapa final'!$O$66),"")</f>
        <v/>
      </c>
      <c r="Y55" s="70" t="str">
        <f>IF(AND('Mapa final'!$Y$67="Muy Baja",'Mapa final'!$AA$67="Moderado"),CONCATENATE("R10C",'Mapa final'!$O$67),"")</f>
        <v/>
      </c>
      <c r="Z55" s="70" t="str">
        <f>IF(AND('Mapa final'!$Y$68="Muy Baja",'Mapa final'!$AA$68="Moderado"),CONCATENATE("R10C",'Mapa final'!$O$68),"")</f>
        <v/>
      </c>
      <c r="AA55" s="71" t="str">
        <f>IF(AND('Mapa final'!$Y$69="Muy Baja",'Mapa final'!$AA$69="Moderado"),CONCATENATE("R10C",'Mapa final'!$O$69),"")</f>
        <v/>
      </c>
      <c r="AB55" s="57" t="str">
        <f>IF(AND('Mapa final'!$Y$64="Muy Baja",'Mapa final'!$AA$64="Mayor"),CONCATENATE("R10C",'Mapa final'!$O$64),"")</f>
        <v/>
      </c>
      <c r="AC55" s="58" t="str">
        <f>IF(AND('Mapa final'!$Y$65="Muy Baja",'Mapa final'!$AA$65="Mayor"),CONCATENATE("R10C",'Mapa final'!$O$65),"")</f>
        <v/>
      </c>
      <c r="AD55" s="58" t="str">
        <f>IF(AND('Mapa final'!$Y$66="Muy Baja",'Mapa final'!$AA$66="Mayor"),CONCATENATE("R10C",'Mapa final'!$O$66),"")</f>
        <v/>
      </c>
      <c r="AE55" s="58" t="str">
        <f>IF(AND('Mapa final'!$Y$67="Muy Baja",'Mapa final'!$AA$67="Mayor"),CONCATENATE("R10C",'Mapa final'!$O$67),"")</f>
        <v/>
      </c>
      <c r="AF55" s="58" t="str">
        <f>IF(AND('Mapa final'!$Y$68="Muy Baja",'Mapa final'!$AA$68="Mayor"),CONCATENATE("R10C",'Mapa final'!$O$68),"")</f>
        <v/>
      </c>
      <c r="AG55" s="59" t="str">
        <f>IF(AND('Mapa final'!$Y$69="Muy Baja",'Mapa final'!$AA$69="Mayor"),CONCATENATE("R10C",'Mapa final'!$O$69),"")</f>
        <v/>
      </c>
      <c r="AH55" s="60" t="str">
        <f>IF(AND('Mapa final'!$Y$64="Muy Baja",'Mapa final'!$AA$64="Catastrófico"),CONCATENATE("R10C",'Mapa final'!$O$64),"")</f>
        <v/>
      </c>
      <c r="AI55" s="61" t="str">
        <f>IF(AND('Mapa final'!$Y$65="Muy Baja",'Mapa final'!$AA$65="Catastrófico"),CONCATENATE("R10C",'Mapa final'!$O$65),"")</f>
        <v/>
      </c>
      <c r="AJ55" s="61" t="str">
        <f>IF(AND('Mapa final'!$Y$66="Muy Baja",'Mapa final'!$AA$66="Catastrófico"),CONCATENATE("R10C",'Mapa final'!$O$66),"")</f>
        <v/>
      </c>
      <c r="AK55" s="61" t="str">
        <f>IF(AND('Mapa final'!$Y$67="Muy Baja",'Mapa final'!$AA$67="Catastrófico"),CONCATENATE("R10C",'Mapa final'!$O$67),"")</f>
        <v/>
      </c>
      <c r="AL55" s="61" t="str">
        <f>IF(AND('Mapa final'!$Y$68="Muy Baja",'Mapa final'!$AA$68="Catastrófico"),CONCATENATE("R10C",'Mapa final'!$O$68),"")</f>
        <v/>
      </c>
      <c r="AM55" s="62" t="str">
        <f>IF(AND('Mapa final'!$Y$69="Muy Baja",'Mapa final'!$AA$69="Catastrófico"),CONCATENATE("R10C",'Mapa final'!$O$69),"")</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81" t="s">
        <v>111</v>
      </c>
      <c r="K56" s="382"/>
      <c r="L56" s="382"/>
      <c r="M56" s="382"/>
      <c r="N56" s="382"/>
      <c r="O56" s="383"/>
      <c r="P56" s="381" t="s">
        <v>110</v>
      </c>
      <c r="Q56" s="382"/>
      <c r="R56" s="382"/>
      <c r="S56" s="382"/>
      <c r="T56" s="382"/>
      <c r="U56" s="383"/>
      <c r="V56" s="381" t="s">
        <v>109</v>
      </c>
      <c r="W56" s="382"/>
      <c r="X56" s="382"/>
      <c r="Y56" s="382"/>
      <c r="Z56" s="382"/>
      <c r="AA56" s="383"/>
      <c r="AB56" s="381" t="s">
        <v>108</v>
      </c>
      <c r="AC56" s="390"/>
      <c r="AD56" s="382"/>
      <c r="AE56" s="382"/>
      <c r="AF56" s="382"/>
      <c r="AG56" s="383"/>
      <c r="AH56" s="381" t="s">
        <v>107</v>
      </c>
      <c r="AI56" s="382"/>
      <c r="AJ56" s="382"/>
      <c r="AK56" s="382"/>
      <c r="AL56" s="382"/>
      <c r="AM56" s="383"/>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84"/>
      <c r="K57" s="385"/>
      <c r="L57" s="385"/>
      <c r="M57" s="385"/>
      <c r="N57" s="385"/>
      <c r="O57" s="386"/>
      <c r="P57" s="384"/>
      <c r="Q57" s="385"/>
      <c r="R57" s="385"/>
      <c r="S57" s="385"/>
      <c r="T57" s="385"/>
      <c r="U57" s="386"/>
      <c r="V57" s="384"/>
      <c r="W57" s="385"/>
      <c r="X57" s="385"/>
      <c r="Y57" s="385"/>
      <c r="Z57" s="385"/>
      <c r="AA57" s="386"/>
      <c r="AB57" s="384"/>
      <c r="AC57" s="385"/>
      <c r="AD57" s="385"/>
      <c r="AE57" s="385"/>
      <c r="AF57" s="385"/>
      <c r="AG57" s="386"/>
      <c r="AH57" s="384"/>
      <c r="AI57" s="385"/>
      <c r="AJ57" s="385"/>
      <c r="AK57" s="385"/>
      <c r="AL57" s="385"/>
      <c r="AM57" s="386"/>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84"/>
      <c r="K58" s="385"/>
      <c r="L58" s="385"/>
      <c r="M58" s="385"/>
      <c r="N58" s="385"/>
      <c r="O58" s="386"/>
      <c r="P58" s="384"/>
      <c r="Q58" s="385"/>
      <c r="R58" s="385"/>
      <c r="S58" s="385"/>
      <c r="T58" s="385"/>
      <c r="U58" s="386"/>
      <c r="V58" s="384"/>
      <c r="W58" s="385"/>
      <c r="X58" s="385"/>
      <c r="Y58" s="385"/>
      <c r="Z58" s="385"/>
      <c r="AA58" s="386"/>
      <c r="AB58" s="384"/>
      <c r="AC58" s="385"/>
      <c r="AD58" s="385"/>
      <c r="AE58" s="385"/>
      <c r="AF58" s="385"/>
      <c r="AG58" s="386"/>
      <c r="AH58" s="384"/>
      <c r="AI58" s="385"/>
      <c r="AJ58" s="385"/>
      <c r="AK58" s="385"/>
      <c r="AL58" s="385"/>
      <c r="AM58" s="386"/>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84"/>
      <c r="K59" s="385"/>
      <c r="L59" s="385"/>
      <c r="M59" s="385"/>
      <c r="N59" s="385"/>
      <c r="O59" s="386"/>
      <c r="P59" s="384"/>
      <c r="Q59" s="385"/>
      <c r="R59" s="385"/>
      <c r="S59" s="385"/>
      <c r="T59" s="385"/>
      <c r="U59" s="386"/>
      <c r="V59" s="384"/>
      <c r="W59" s="385"/>
      <c r="X59" s="385"/>
      <c r="Y59" s="385"/>
      <c r="Z59" s="385"/>
      <c r="AA59" s="386"/>
      <c r="AB59" s="384"/>
      <c r="AC59" s="385"/>
      <c r="AD59" s="385"/>
      <c r="AE59" s="385"/>
      <c r="AF59" s="385"/>
      <c r="AG59" s="386"/>
      <c r="AH59" s="384"/>
      <c r="AI59" s="385"/>
      <c r="AJ59" s="385"/>
      <c r="AK59" s="385"/>
      <c r="AL59" s="385"/>
      <c r="AM59" s="386"/>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84"/>
      <c r="K60" s="385"/>
      <c r="L60" s="385"/>
      <c r="M60" s="385"/>
      <c r="N60" s="385"/>
      <c r="O60" s="386"/>
      <c r="P60" s="384"/>
      <c r="Q60" s="385"/>
      <c r="R60" s="385"/>
      <c r="S60" s="385"/>
      <c r="T60" s="385"/>
      <c r="U60" s="386"/>
      <c r="V60" s="384"/>
      <c r="W60" s="385"/>
      <c r="X60" s="385"/>
      <c r="Y60" s="385"/>
      <c r="Z60" s="385"/>
      <c r="AA60" s="386"/>
      <c r="AB60" s="384"/>
      <c r="AC60" s="385"/>
      <c r="AD60" s="385"/>
      <c r="AE60" s="385"/>
      <c r="AF60" s="385"/>
      <c r="AG60" s="386"/>
      <c r="AH60" s="384"/>
      <c r="AI60" s="385"/>
      <c r="AJ60" s="385"/>
      <c r="AK60" s="385"/>
      <c r="AL60" s="385"/>
      <c r="AM60" s="386"/>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87"/>
      <c r="K61" s="388"/>
      <c r="L61" s="388"/>
      <c r="M61" s="388"/>
      <c r="N61" s="388"/>
      <c r="O61" s="389"/>
      <c r="P61" s="387"/>
      <c r="Q61" s="388"/>
      <c r="R61" s="388"/>
      <c r="S61" s="388"/>
      <c r="T61" s="388"/>
      <c r="U61" s="389"/>
      <c r="V61" s="387"/>
      <c r="W61" s="388"/>
      <c r="X61" s="388"/>
      <c r="Y61" s="388"/>
      <c r="Z61" s="388"/>
      <c r="AA61" s="389"/>
      <c r="AB61" s="387"/>
      <c r="AC61" s="388"/>
      <c r="AD61" s="388"/>
      <c r="AE61" s="388"/>
      <c r="AF61" s="388"/>
      <c r="AG61" s="389"/>
      <c r="AH61" s="387"/>
      <c r="AI61" s="388"/>
      <c r="AJ61" s="388"/>
      <c r="AK61" s="388"/>
      <c r="AL61" s="388"/>
      <c r="AM61" s="389"/>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28515625" customWidth="1"/>
    <col min="3" max="3" width="70.28515625" customWidth="1"/>
    <col min="4" max="4" width="29.7109375" customWidth="1"/>
  </cols>
  <sheetData>
    <row r="1" spans="1:37" ht="23.25" x14ac:dyDescent="0.25">
      <c r="A1" s="82"/>
      <c r="B1" s="430" t="s">
        <v>54</v>
      </c>
      <c r="C1" s="430"/>
      <c r="D1" s="430"/>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51</v>
      </c>
      <c r="D3" s="1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50</v>
      </c>
      <c r="C4" s="13" t="s">
        <v>101</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52</v>
      </c>
      <c r="C5" s="16" t="s">
        <v>102</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106</v>
      </c>
      <c r="C6" s="16" t="s">
        <v>103</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6</v>
      </c>
      <c r="C7" s="16" t="s">
        <v>104</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53</v>
      </c>
      <c r="C8" s="16" t="s">
        <v>105</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176" zoomScale="60" zoomScaleNormal="60" workbookViewId="0">
      <selection activeCell="A6" sqref="A6"/>
    </sheetView>
  </sheetViews>
  <sheetFormatPr baseColWidth="10" defaultRowHeight="15" x14ac:dyDescent="0.25"/>
  <cols>
    <col min="2" max="2" width="40.42578125" customWidth="1"/>
    <col min="3" max="3" width="74.7109375" customWidth="1"/>
    <col min="4" max="4" width="135" bestFit="1" customWidth="1"/>
    <col min="5" max="5" width="144.5703125" bestFit="1" customWidth="1"/>
  </cols>
  <sheetData>
    <row r="1" spans="1:21" ht="33.75" x14ac:dyDescent="0.25">
      <c r="A1" s="82"/>
      <c r="B1" s="431" t="s">
        <v>62</v>
      </c>
      <c r="C1" s="431"/>
      <c r="D1" s="431"/>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55</v>
      </c>
      <c r="D3" s="35" t="s">
        <v>56</v>
      </c>
      <c r="E3" s="82"/>
      <c r="F3" s="82"/>
      <c r="G3" s="82"/>
      <c r="H3" s="82"/>
      <c r="I3" s="82"/>
      <c r="J3" s="82"/>
      <c r="K3" s="82"/>
      <c r="L3" s="82"/>
      <c r="M3" s="82"/>
      <c r="N3" s="82"/>
      <c r="O3" s="82"/>
      <c r="P3" s="82"/>
      <c r="Q3" s="82"/>
      <c r="R3" s="82"/>
      <c r="S3" s="82"/>
      <c r="T3" s="82"/>
      <c r="U3" s="82"/>
    </row>
    <row r="4" spans="1:21" ht="33.75" x14ac:dyDescent="0.25">
      <c r="A4" s="102" t="s">
        <v>82</v>
      </c>
      <c r="B4" s="38" t="s">
        <v>100</v>
      </c>
      <c r="C4" s="43" t="s">
        <v>156</v>
      </c>
      <c r="D4" s="36" t="s">
        <v>96</v>
      </c>
      <c r="E4" s="82"/>
      <c r="F4" s="82"/>
      <c r="G4" s="82"/>
      <c r="H4" s="82"/>
      <c r="I4" s="82"/>
      <c r="J4" s="82"/>
      <c r="K4" s="82"/>
      <c r="L4" s="82"/>
      <c r="M4" s="82"/>
      <c r="N4" s="82"/>
      <c r="O4" s="82"/>
      <c r="P4" s="82"/>
      <c r="Q4" s="82"/>
      <c r="R4" s="82"/>
      <c r="S4" s="82"/>
      <c r="T4" s="82"/>
      <c r="U4" s="82"/>
    </row>
    <row r="5" spans="1:21" ht="67.5" x14ac:dyDescent="0.25">
      <c r="A5" s="102" t="s">
        <v>83</v>
      </c>
      <c r="B5" s="39" t="s">
        <v>58</v>
      </c>
      <c r="C5" s="44" t="s">
        <v>92</v>
      </c>
      <c r="D5" s="37" t="s">
        <v>97</v>
      </c>
      <c r="E5" s="82"/>
      <c r="F5" s="82"/>
      <c r="G5" s="82"/>
      <c r="H5" s="82"/>
      <c r="I5" s="82"/>
      <c r="J5" s="82"/>
      <c r="K5" s="82"/>
      <c r="L5" s="82"/>
      <c r="M5" s="82"/>
      <c r="N5" s="82"/>
      <c r="O5" s="82"/>
      <c r="P5" s="82"/>
      <c r="Q5" s="82"/>
      <c r="R5" s="82"/>
      <c r="S5" s="82"/>
      <c r="T5" s="82"/>
      <c r="U5" s="82"/>
    </row>
    <row r="6" spans="1:21" ht="67.5" x14ac:dyDescent="0.25">
      <c r="A6" s="102" t="s">
        <v>80</v>
      </c>
      <c r="B6" s="40" t="s">
        <v>59</v>
      </c>
      <c r="C6" s="44" t="s">
        <v>93</v>
      </c>
      <c r="D6" s="37" t="s">
        <v>99</v>
      </c>
      <c r="E6" s="82"/>
      <c r="F6" s="82"/>
      <c r="G6" s="82"/>
      <c r="H6" s="82"/>
      <c r="I6" s="82"/>
      <c r="J6" s="82"/>
      <c r="K6" s="82"/>
      <c r="L6" s="82"/>
      <c r="M6" s="82"/>
      <c r="N6" s="82"/>
      <c r="O6" s="82"/>
      <c r="P6" s="82"/>
      <c r="Q6" s="82"/>
      <c r="R6" s="82"/>
      <c r="S6" s="82"/>
      <c r="T6" s="82"/>
      <c r="U6" s="82"/>
    </row>
    <row r="7" spans="1:21" ht="101.25" x14ac:dyDescent="0.25">
      <c r="A7" s="102" t="s">
        <v>7</v>
      </c>
      <c r="B7" s="41" t="s">
        <v>60</v>
      </c>
      <c r="C7" s="44" t="s">
        <v>94</v>
      </c>
      <c r="D7" s="37" t="s">
        <v>98</v>
      </c>
      <c r="E7" s="82"/>
      <c r="F7" s="82"/>
      <c r="G7" s="82"/>
      <c r="H7" s="82"/>
      <c r="I7" s="82"/>
      <c r="J7" s="82"/>
      <c r="K7" s="82"/>
      <c r="L7" s="82"/>
      <c r="M7" s="82"/>
      <c r="N7" s="82"/>
      <c r="O7" s="82"/>
      <c r="P7" s="82"/>
      <c r="Q7" s="82"/>
      <c r="R7" s="82"/>
      <c r="S7" s="82"/>
      <c r="T7" s="82"/>
      <c r="U7" s="82"/>
    </row>
    <row r="8" spans="1:21" ht="67.5" x14ac:dyDescent="0.25">
      <c r="A8" s="102" t="s">
        <v>84</v>
      </c>
      <c r="B8" s="42" t="s">
        <v>61</v>
      </c>
      <c r="C8" s="44" t="s">
        <v>95</v>
      </c>
      <c r="D8" s="37" t="s">
        <v>117</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90</v>
      </c>
      <c r="C11" s="102" t="s">
        <v>144</v>
      </c>
      <c r="D11" s="102" t="s">
        <v>151</v>
      </c>
      <c r="E11" s="82"/>
      <c r="F11" s="82"/>
      <c r="G11" s="82"/>
      <c r="H11" s="82"/>
      <c r="I11" s="82"/>
      <c r="J11" s="82"/>
      <c r="K11" s="82"/>
      <c r="L11" s="82"/>
      <c r="M11" s="82"/>
      <c r="N11" s="82"/>
      <c r="O11" s="82"/>
      <c r="P11" s="82"/>
      <c r="Q11" s="82"/>
      <c r="R11" s="82"/>
      <c r="S11" s="82"/>
      <c r="T11" s="82"/>
      <c r="U11" s="82"/>
    </row>
    <row r="12" spans="1:21" x14ac:dyDescent="0.25">
      <c r="A12" s="102"/>
      <c r="B12" s="102" t="s">
        <v>88</v>
      </c>
      <c r="C12" s="102" t="s">
        <v>148</v>
      </c>
      <c r="D12" s="102" t="s">
        <v>152</v>
      </c>
      <c r="E12" s="82"/>
      <c r="F12" s="82"/>
      <c r="G12" s="82"/>
      <c r="H12" s="82"/>
      <c r="I12" s="82"/>
      <c r="J12" s="82"/>
      <c r="K12" s="82"/>
      <c r="L12" s="82"/>
      <c r="M12" s="82"/>
      <c r="N12" s="82"/>
      <c r="O12" s="82"/>
      <c r="P12" s="82"/>
      <c r="Q12" s="82"/>
      <c r="R12" s="82"/>
      <c r="S12" s="82"/>
      <c r="T12" s="82"/>
      <c r="U12" s="82"/>
    </row>
    <row r="13" spans="1:21" x14ac:dyDescent="0.25">
      <c r="A13" s="102"/>
      <c r="B13" s="102"/>
      <c r="C13" s="102" t="s">
        <v>147</v>
      </c>
      <c r="D13" s="102" t="s">
        <v>153</v>
      </c>
      <c r="E13" s="82"/>
      <c r="F13" s="82"/>
      <c r="G13" s="82"/>
      <c r="H13" s="82"/>
      <c r="I13" s="82"/>
      <c r="J13" s="82"/>
      <c r="K13" s="82"/>
      <c r="L13" s="82"/>
      <c r="M13" s="82"/>
      <c r="N13" s="82"/>
      <c r="O13" s="82"/>
      <c r="P13" s="82"/>
      <c r="Q13" s="82"/>
      <c r="R13" s="82"/>
      <c r="S13" s="82"/>
      <c r="T13" s="82"/>
      <c r="U13" s="82"/>
    </row>
    <row r="14" spans="1:21" x14ac:dyDescent="0.25">
      <c r="A14" s="102"/>
      <c r="B14" s="102"/>
      <c r="C14" s="102" t="s">
        <v>149</v>
      </c>
      <c r="D14" s="102" t="s">
        <v>154</v>
      </c>
      <c r="E14" s="82"/>
      <c r="F14" s="82"/>
      <c r="G14" s="82"/>
      <c r="H14" s="82"/>
      <c r="I14" s="82"/>
      <c r="J14" s="82"/>
      <c r="K14" s="82"/>
      <c r="L14" s="82"/>
      <c r="M14" s="82"/>
      <c r="N14" s="82"/>
      <c r="O14" s="82"/>
      <c r="P14" s="82"/>
      <c r="Q14" s="82"/>
      <c r="R14" s="82"/>
      <c r="S14" s="82"/>
      <c r="T14" s="82"/>
      <c r="U14" s="82"/>
    </row>
    <row r="15" spans="1:21" x14ac:dyDescent="0.25">
      <c r="A15" s="102"/>
      <c r="B15" s="102"/>
      <c r="C15" s="102" t="s">
        <v>150</v>
      </c>
      <c r="D15" s="102" t="s">
        <v>155</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87</v>
      </c>
      <c r="C209" s="29" t="s">
        <v>143</v>
      </c>
      <c r="D209" s="32" t="s">
        <v>87</v>
      </c>
      <c r="E209" s="32" t="s">
        <v>143</v>
      </c>
    </row>
    <row r="210" spans="1:8" ht="21" x14ac:dyDescent="0.35">
      <c r="A210" s="82"/>
      <c r="B210" s="30" t="s">
        <v>89</v>
      </c>
      <c r="C210" s="30"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82"/>
      <c r="B211" s="30" t="s">
        <v>89</v>
      </c>
      <c r="C211" s="30" t="s">
        <v>92</v>
      </c>
      <c r="E211" t="s">
        <v>57</v>
      </c>
      <c r="F211" t="str">
        <f t="shared" ref="F211:F221" si="0">IF(NOT(ISBLANK(D211)),D211,IF(NOT(ISBLANK(E211)),"     "&amp;E211,FALSE))</f>
        <v xml:space="preserve">     Afectación menor a 10 SMLMV .</v>
      </c>
    </row>
    <row r="212" spans="1:8" ht="21" x14ac:dyDescent="0.35">
      <c r="A212" s="82"/>
      <c r="B212" s="30" t="s">
        <v>89</v>
      </c>
      <c r="C212" s="30" t="s">
        <v>93</v>
      </c>
      <c r="E212" t="s">
        <v>92</v>
      </c>
      <c r="F212" t="str">
        <f t="shared" si="0"/>
        <v xml:space="preserve">     Entre 10 y 50 SMLMV </v>
      </c>
    </row>
    <row r="213" spans="1:8" ht="21" x14ac:dyDescent="0.35">
      <c r="A213" s="82"/>
      <c r="B213" s="30" t="s">
        <v>89</v>
      </c>
      <c r="C213" s="30" t="s">
        <v>94</v>
      </c>
      <c r="E213" t="s">
        <v>93</v>
      </c>
      <c r="F213" t="str">
        <f t="shared" si="0"/>
        <v xml:space="preserve">     Entre 50 y 100 SMLMV </v>
      </c>
    </row>
    <row r="214" spans="1:8" ht="21" x14ac:dyDescent="0.35">
      <c r="A214" s="82"/>
      <c r="B214" s="30" t="s">
        <v>89</v>
      </c>
      <c r="C214" s="30" t="s">
        <v>95</v>
      </c>
      <c r="E214" t="s">
        <v>94</v>
      </c>
      <c r="F214" t="str">
        <f t="shared" si="0"/>
        <v xml:space="preserve">     Entre 100 y 500 SMLMV </v>
      </c>
    </row>
    <row r="215" spans="1:8" ht="21" x14ac:dyDescent="0.35">
      <c r="A215" s="82"/>
      <c r="B215" s="30" t="s">
        <v>56</v>
      </c>
      <c r="C215" s="30" t="s">
        <v>96</v>
      </c>
      <c r="E215" t="s">
        <v>95</v>
      </c>
      <c r="F215" t="str">
        <f t="shared" si="0"/>
        <v xml:space="preserve">     Mayor a 500 SMLMV </v>
      </c>
    </row>
    <row r="216" spans="1:8" ht="21" x14ac:dyDescent="0.35">
      <c r="A216" s="82"/>
      <c r="B216" s="30" t="s">
        <v>56</v>
      </c>
      <c r="C216" s="30" t="s">
        <v>97</v>
      </c>
      <c r="D216" t="s">
        <v>56</v>
      </c>
      <c r="F216" t="str">
        <f t="shared" si="0"/>
        <v>Pérdida Reputacional</v>
      </c>
    </row>
    <row r="217" spans="1:8" ht="21" x14ac:dyDescent="0.35">
      <c r="A217" s="82"/>
      <c r="B217" s="30" t="s">
        <v>56</v>
      </c>
      <c r="C217" s="30" t="s">
        <v>99</v>
      </c>
      <c r="E217" t="s">
        <v>96</v>
      </c>
      <c r="F217" t="str">
        <f t="shared" si="0"/>
        <v xml:space="preserve">     El riesgo afecta la imagen de alguna área de la organización</v>
      </c>
    </row>
    <row r="218" spans="1:8" ht="21" x14ac:dyDescent="0.35">
      <c r="A218" s="82"/>
      <c r="B218" s="30" t="s">
        <v>56</v>
      </c>
      <c r="C218" s="30" t="s">
        <v>98</v>
      </c>
      <c r="E218" t="s">
        <v>97</v>
      </c>
      <c r="F218" t="str">
        <f t="shared" si="0"/>
        <v xml:space="preserve">     El riesgo afecta la imagen de la entidad internamente, de conocimiento general, nivel interno, de junta dircetiva y accionistas y/o de provedores</v>
      </c>
    </row>
    <row r="219" spans="1:8" ht="21" x14ac:dyDescent="0.35">
      <c r="A219" s="82"/>
      <c r="B219" s="30" t="s">
        <v>56</v>
      </c>
      <c r="C219" s="30" t="s">
        <v>117</v>
      </c>
      <c r="E219" t="s">
        <v>99</v>
      </c>
      <c r="F219" t="str">
        <f t="shared" si="0"/>
        <v xml:space="preserve">     El riesgo afecta la imagen de la entidad con algunos usuarios de relevancia frente al logro de los objetivos</v>
      </c>
    </row>
    <row r="220" spans="1:8" x14ac:dyDescent="0.25">
      <c r="A220" s="82"/>
      <c r="B220" s="31"/>
      <c r="C220" s="31"/>
      <c r="E220" t="s">
        <v>98</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117</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145</v>
      </c>
    </row>
    <row r="224" spans="1:8" x14ac:dyDescent="0.25">
      <c r="B224" s="21"/>
      <c r="C224" s="21"/>
      <c r="F224" s="34" t="s">
        <v>146</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32" t="s">
        <v>77</v>
      </c>
      <c r="C1" s="433"/>
      <c r="D1" s="433"/>
      <c r="E1" s="433"/>
      <c r="F1" s="434"/>
    </row>
    <row r="2" spans="2:6" ht="16.5" thickBot="1" x14ac:dyDescent="0.3">
      <c r="B2" s="88"/>
      <c r="C2" s="88"/>
      <c r="D2" s="88"/>
      <c r="E2" s="88"/>
      <c r="F2" s="88"/>
    </row>
    <row r="3" spans="2:6" ht="16.5" thickBot="1" x14ac:dyDescent="0.25">
      <c r="B3" s="436" t="s">
        <v>63</v>
      </c>
      <c r="C3" s="437"/>
      <c r="D3" s="437"/>
      <c r="E3" s="100" t="s">
        <v>64</v>
      </c>
      <c r="F3" s="101" t="s">
        <v>65</v>
      </c>
    </row>
    <row r="4" spans="2:6" ht="31.5" x14ac:dyDescent="0.2">
      <c r="B4" s="438" t="s">
        <v>66</v>
      </c>
      <c r="C4" s="440" t="s">
        <v>13</v>
      </c>
      <c r="D4" s="89" t="s">
        <v>14</v>
      </c>
      <c r="E4" s="90" t="s">
        <v>67</v>
      </c>
      <c r="F4" s="91">
        <v>0.25</v>
      </c>
    </row>
    <row r="5" spans="2:6" ht="47.25" x14ac:dyDescent="0.2">
      <c r="B5" s="439"/>
      <c r="C5" s="441"/>
      <c r="D5" s="92" t="s">
        <v>15</v>
      </c>
      <c r="E5" s="93" t="s">
        <v>68</v>
      </c>
      <c r="F5" s="94">
        <v>0.15</v>
      </c>
    </row>
    <row r="6" spans="2:6" ht="47.25" x14ac:dyDescent="0.2">
      <c r="B6" s="439"/>
      <c r="C6" s="441"/>
      <c r="D6" s="92" t="s">
        <v>16</v>
      </c>
      <c r="E6" s="93" t="s">
        <v>69</v>
      </c>
      <c r="F6" s="94">
        <v>0.1</v>
      </c>
    </row>
    <row r="7" spans="2:6" ht="63" x14ac:dyDescent="0.2">
      <c r="B7" s="439"/>
      <c r="C7" s="441" t="s">
        <v>17</v>
      </c>
      <c r="D7" s="92" t="s">
        <v>10</v>
      </c>
      <c r="E7" s="93" t="s">
        <v>70</v>
      </c>
      <c r="F7" s="94">
        <v>0.25</v>
      </c>
    </row>
    <row r="8" spans="2:6" ht="31.5" x14ac:dyDescent="0.2">
      <c r="B8" s="439"/>
      <c r="C8" s="441"/>
      <c r="D8" s="92" t="s">
        <v>9</v>
      </c>
      <c r="E8" s="93" t="s">
        <v>71</v>
      </c>
      <c r="F8" s="94">
        <v>0.15</v>
      </c>
    </row>
    <row r="9" spans="2:6" ht="47.25" x14ac:dyDescent="0.2">
      <c r="B9" s="439" t="s">
        <v>160</v>
      </c>
      <c r="C9" s="441" t="s">
        <v>18</v>
      </c>
      <c r="D9" s="92" t="s">
        <v>19</v>
      </c>
      <c r="E9" s="93" t="s">
        <v>72</v>
      </c>
      <c r="F9" s="95" t="s">
        <v>73</v>
      </c>
    </row>
    <row r="10" spans="2:6" ht="63" x14ac:dyDescent="0.2">
      <c r="B10" s="439"/>
      <c r="C10" s="441"/>
      <c r="D10" s="92" t="s">
        <v>20</v>
      </c>
      <c r="E10" s="93" t="s">
        <v>74</v>
      </c>
      <c r="F10" s="95" t="s">
        <v>73</v>
      </c>
    </row>
    <row r="11" spans="2:6" ht="47.25" x14ac:dyDescent="0.2">
      <c r="B11" s="439"/>
      <c r="C11" s="441" t="s">
        <v>21</v>
      </c>
      <c r="D11" s="92" t="s">
        <v>22</v>
      </c>
      <c r="E11" s="93" t="s">
        <v>75</v>
      </c>
      <c r="F11" s="95" t="s">
        <v>73</v>
      </c>
    </row>
    <row r="12" spans="2:6" ht="47.25" x14ac:dyDescent="0.2">
      <c r="B12" s="439"/>
      <c r="C12" s="441"/>
      <c r="D12" s="92" t="s">
        <v>23</v>
      </c>
      <c r="E12" s="93" t="s">
        <v>76</v>
      </c>
      <c r="F12" s="95" t="s">
        <v>73</v>
      </c>
    </row>
    <row r="13" spans="2:6" ht="31.5" x14ac:dyDescent="0.2">
      <c r="B13" s="439"/>
      <c r="C13" s="441" t="s">
        <v>24</v>
      </c>
      <c r="D13" s="92" t="s">
        <v>118</v>
      </c>
      <c r="E13" s="93" t="s">
        <v>121</v>
      </c>
      <c r="F13" s="95" t="s">
        <v>73</v>
      </c>
    </row>
    <row r="14" spans="2:6" ht="32.25" thickBot="1" x14ac:dyDescent="0.25">
      <c r="B14" s="442"/>
      <c r="C14" s="443"/>
      <c r="D14" s="96" t="s">
        <v>119</v>
      </c>
      <c r="E14" s="97" t="s">
        <v>120</v>
      </c>
      <c r="F14" s="98" t="s">
        <v>73</v>
      </c>
    </row>
    <row r="15" spans="2:6" ht="49.5" customHeight="1" x14ac:dyDescent="0.2">
      <c r="B15" s="435" t="s">
        <v>157</v>
      </c>
      <c r="C15" s="435"/>
      <c r="D15" s="435"/>
      <c r="E15" s="435"/>
      <c r="F15" s="435"/>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39</v>
      </c>
    </row>
    <row r="21" spans="1:1" x14ac:dyDescent="0.2">
      <c r="A21" s="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2024-09-13T20:17:03Z</dcterms:modified>
</cp:coreProperties>
</file>