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SEGUIMIENTO MAPA DE RIESGOS OCI 2CUAT - Publicar\"/>
    </mc:Choice>
  </mc:AlternateContent>
  <bookViews>
    <workbookView xWindow="0" yWindow="0" windowWidth="28800" windowHeight="12135" tabRatio="882" firstSheet="1" activeTab="1"/>
  </bookViews>
  <sheets>
    <sheet name="Intructivo" sheetId="20" state="hidden" r:id="rId1"/>
    <sheet name="Mapa final" sheetId="1" r:id="rId2"/>
    <sheet name="Matriz Calor Inherente" sheetId="18" state="hidden" r:id="rId3"/>
    <sheet name="Matriz Calor Residual" sheetId="19" state="hidden" r:id="rId4"/>
    <sheet name="Tabla probabilidad" sheetId="12" state="hidden" r:id="rId5"/>
    <sheet name="Tabla Impacto" sheetId="13" state="hidden" r:id="rId6"/>
    <sheet name="Tabla Valoración controles" sheetId="15" state="hidden" r:id="rId7"/>
    <sheet name="Opciones Tratamiento" sheetId="16" state="hidden" r:id="rId8"/>
    <sheet name="Hoja1" sheetId="11" state="hidden" r:id="rId9"/>
  </sheets>
  <calcPr calcId="152511"/>
  <pivotCaches>
    <pivotCache cacheId="0" r:id="rId10"/>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3" i="1" l="1"/>
  <c r="H49" i="1"/>
  <c r="Q45" i="1"/>
  <c r="T45" i="1"/>
  <c r="Q46" i="1"/>
  <c r="AB46" i="1" s="1"/>
  <c r="AA46" i="1" s="1"/>
  <c r="T46" i="1"/>
  <c r="Q47" i="1"/>
  <c r="T47" i="1"/>
  <c r="Q48" i="1"/>
  <c r="T48" i="1"/>
  <c r="Q44" i="1"/>
  <c r="X45" i="1" s="1"/>
  <c r="T44" i="1"/>
  <c r="T54" i="1"/>
  <c r="Q54" i="1"/>
  <c r="T53" i="1"/>
  <c r="Q53" i="1"/>
  <c r="T52" i="1"/>
  <c r="Q52" i="1"/>
  <c r="H52" i="1"/>
  <c r="T51" i="1"/>
  <c r="Q51" i="1"/>
  <c r="T50" i="1"/>
  <c r="Q50" i="1"/>
  <c r="AB50" i="1" s="1"/>
  <c r="AA50" i="1" s="1"/>
  <c r="T49" i="1"/>
  <c r="Q49" i="1"/>
  <c r="Q28" i="1"/>
  <c r="T10" i="1"/>
  <c r="Q10" i="1"/>
  <c r="H10" i="1"/>
  <c r="I10" i="1" s="1"/>
  <c r="K20" i="1"/>
  <c r="K40" i="1"/>
  <c r="K54" i="1"/>
  <c r="K36" i="1"/>
  <c r="K47" i="1"/>
  <c r="K19" i="1"/>
  <c r="K42" i="1"/>
  <c r="K25" i="1"/>
  <c r="K45" i="1"/>
  <c r="K65" i="1"/>
  <c r="K41" i="1"/>
  <c r="K51" i="1"/>
  <c r="K63" i="1"/>
  <c r="K38" i="1"/>
  <c r="K50" i="1"/>
  <c r="K18" i="1"/>
  <c r="K21" i="1"/>
  <c r="K17" i="1"/>
  <c r="K53" i="1"/>
  <c r="K44" i="1"/>
  <c r="K33" i="1"/>
  <c r="K30" i="1"/>
  <c r="K32" i="1"/>
  <c r="K23" i="1"/>
  <c r="K24" i="1"/>
  <c r="K31" i="1"/>
  <c r="K62" i="1"/>
  <c r="K35" i="1"/>
  <c r="K48" i="1"/>
  <c r="K64" i="1"/>
  <c r="K29" i="1"/>
  <c r="K66" i="1"/>
  <c r="K46" i="1"/>
  <c r="K26" i="1"/>
  <c r="K39" i="1"/>
  <c r="K27" i="1"/>
  <c r="X46" i="1" l="1"/>
  <c r="Z46" i="1" s="1"/>
  <c r="AB48" i="1"/>
  <c r="AA48" i="1" s="1"/>
  <c r="X48" i="1"/>
  <c r="Y45" i="1"/>
  <c r="Z45" i="1"/>
  <c r="AB45" i="1"/>
  <c r="AA45" i="1" s="1"/>
  <c r="X47" i="1"/>
  <c r="AB47" i="1"/>
  <c r="AA47" i="1" s="1"/>
  <c r="AB51" i="1"/>
  <c r="AA51" i="1" s="1"/>
  <c r="AB54" i="1"/>
  <c r="AA54" i="1" s="1"/>
  <c r="I49" i="1"/>
  <c r="X49" i="1" s="1"/>
  <c r="X50" i="1"/>
  <c r="I52" i="1"/>
  <c r="X52" i="1" s="1"/>
  <c r="X53" i="1"/>
  <c r="AB53" i="1"/>
  <c r="AA53" i="1" s="1"/>
  <c r="X54" i="1"/>
  <c r="X51" i="1"/>
  <c r="F221" i="13"/>
  <c r="F211" i="13"/>
  <c r="F212" i="13"/>
  <c r="F213" i="13"/>
  <c r="F214" i="13"/>
  <c r="F215" i="13"/>
  <c r="F216" i="13"/>
  <c r="F217" i="13"/>
  <c r="F218" i="13"/>
  <c r="F219" i="13"/>
  <c r="F220" i="13"/>
  <c r="F210" i="13"/>
  <c r="K11" i="1"/>
  <c r="K15" i="1"/>
  <c r="K12" i="1"/>
  <c r="K14" i="1"/>
  <c r="K13" i="1"/>
  <c r="B221" i="13" a="1"/>
  <c r="Y46" i="1" l="1"/>
  <c r="AC46" i="1" s="1"/>
  <c r="Y48" i="1"/>
  <c r="AC48" i="1" s="1"/>
  <c r="Z48" i="1"/>
  <c r="AC45" i="1"/>
  <c r="Y47" i="1"/>
  <c r="AC47" i="1" s="1"/>
  <c r="Z47" i="1"/>
  <c r="Z53" i="1"/>
  <c r="Y53" i="1"/>
  <c r="AC53" i="1" s="1"/>
  <c r="Y51" i="1"/>
  <c r="AC51" i="1" s="1"/>
  <c r="Z51" i="1"/>
  <c r="Z52" i="1"/>
  <c r="Y52" i="1"/>
  <c r="Y54" i="1"/>
  <c r="AC54" i="1" s="1"/>
  <c r="Z54" i="1"/>
  <c r="Z50" i="1"/>
  <c r="Y50" i="1"/>
  <c r="AC50" i="1" s="1"/>
  <c r="Z49" i="1"/>
  <c r="Y49" i="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6" i="1" l="1"/>
  <c r="Q66" i="1"/>
  <c r="T65" i="1"/>
  <c r="Q65" i="1"/>
  <c r="T64" i="1"/>
  <c r="Q64" i="1"/>
  <c r="T63" i="1"/>
  <c r="Q63" i="1"/>
  <c r="T62" i="1"/>
  <c r="Q62" i="1"/>
  <c r="AB62" i="1" s="1"/>
  <c r="H61" i="1"/>
  <c r="I61" i="1" s="1"/>
  <c r="T43" i="1"/>
  <c r="H43" i="1"/>
  <c r="I43" i="1" s="1"/>
  <c r="T42" i="1"/>
  <c r="Q42" i="1"/>
  <c r="T41" i="1"/>
  <c r="Q41" i="1"/>
  <c r="T40" i="1"/>
  <c r="Q40" i="1"/>
  <c r="T37" i="1"/>
  <c r="Q37" i="1"/>
  <c r="H37" i="1"/>
  <c r="I37" i="1" s="1"/>
  <c r="T36" i="1"/>
  <c r="Q36" i="1"/>
  <c r="T35" i="1"/>
  <c r="Q35" i="1"/>
  <c r="T34" i="1"/>
  <c r="Q34" i="1"/>
  <c r="H34" i="1"/>
  <c r="I34" i="1" s="1"/>
  <c r="T33" i="1"/>
  <c r="Q33" i="1"/>
  <c r="T32" i="1"/>
  <c r="Q32" i="1"/>
  <c r="T31" i="1"/>
  <c r="Q31" i="1"/>
  <c r="T28" i="1"/>
  <c r="H28" i="1"/>
  <c r="I28" i="1" s="1"/>
  <c r="T27" i="1"/>
  <c r="Q27" i="1"/>
  <c r="T26" i="1"/>
  <c r="Q26" i="1"/>
  <c r="T25" i="1"/>
  <c r="Q25" i="1"/>
  <c r="T24" i="1"/>
  <c r="Q24" i="1"/>
  <c r="T22" i="1"/>
  <c r="Q22" i="1"/>
  <c r="H22" i="1"/>
  <c r="I22" i="1" s="1"/>
  <c r="H16" i="1"/>
  <c r="Q15" i="1"/>
  <c r="Q14" i="1"/>
  <c r="Q13" i="1"/>
  <c r="T21" i="1"/>
  <c r="Q21" i="1"/>
  <c r="T20" i="1"/>
  <c r="Q20" i="1"/>
  <c r="T19" i="1"/>
  <c r="Q19" i="1"/>
  <c r="T16" i="1"/>
  <c r="Q16" i="1"/>
  <c r="X44" i="1" l="1"/>
  <c r="AB44" i="1"/>
  <c r="AA44" i="1" s="1"/>
  <c r="I16" i="1"/>
  <c r="X16" i="1" s="1"/>
  <c r="X43" i="1"/>
  <c r="X37" i="1"/>
  <c r="X34" i="1"/>
  <c r="X28" i="1"/>
  <c r="X22" i="1"/>
  <c r="Y44" i="1" l="1"/>
  <c r="AC44" i="1" s="1"/>
  <c r="Z44" i="1"/>
  <c r="X62" i="1"/>
  <c r="Y62" i="1" s="1"/>
  <c r="Y43" i="1"/>
  <c r="Z43" i="1"/>
  <c r="Y37" i="1"/>
  <c r="Z37" i="1"/>
  <c r="Y34" i="1"/>
  <c r="Z34" i="1"/>
  <c r="Y28" i="1"/>
  <c r="Z28" i="1"/>
  <c r="Y22" i="1"/>
  <c r="Z22" i="1"/>
  <c r="Y16" i="1"/>
  <c r="Z16" i="1"/>
  <c r="X24" i="1" l="1"/>
  <c r="Y24" i="1" s="1"/>
  <c r="Z62" i="1"/>
  <c r="X63"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2" i="1"/>
  <c r="T13" i="1"/>
  <c r="T14" i="1"/>
  <c r="T15" i="1"/>
  <c r="Z24" i="1" l="1"/>
  <c r="X25" i="1" s="1"/>
  <c r="Z25" i="1" s="1"/>
  <c r="Y63" i="1"/>
  <c r="Z63" i="1"/>
  <c r="X64" i="1" s="1"/>
  <c r="X40" i="1"/>
  <c r="X32" i="1"/>
  <c r="Y32" i="1" s="1"/>
  <c r="X31" i="1"/>
  <c r="X35" i="1" l="1"/>
  <c r="Y25" i="1"/>
  <c r="Y40" i="1"/>
  <c r="Z40" i="1"/>
  <c r="X41" i="1" s="1"/>
  <c r="Y41" i="1" s="1"/>
  <c r="X26" i="1"/>
  <c r="Z64" i="1"/>
  <c r="Y64" i="1"/>
  <c r="Y31" i="1"/>
  <c r="Z31" i="1"/>
  <c r="Z32" i="1"/>
  <c r="X33" i="1" s="1"/>
  <c r="X19" i="1"/>
  <c r="Y19" i="1" s="1"/>
  <c r="Q12" i="1"/>
  <c r="X65" i="1" l="1"/>
  <c r="X66" i="1"/>
  <c r="Z41" i="1"/>
  <c r="X42" i="1" s="1"/>
  <c r="Y42" i="1" s="1"/>
  <c r="Z35" i="1"/>
  <c r="X36" i="1" s="1"/>
  <c r="Y35" i="1"/>
  <c r="Y26" i="1"/>
  <c r="Z26" i="1"/>
  <c r="X27" i="1" s="1"/>
  <c r="Y27" i="1" s="1"/>
  <c r="Y33" i="1"/>
  <c r="Z33" i="1"/>
  <c r="Z19" i="1"/>
  <c r="X20" i="1" s="1"/>
  <c r="Z20" i="1" s="1"/>
  <c r="X21" i="1" s="1"/>
  <c r="X10" i="1"/>
  <c r="Y10" i="1" s="1"/>
  <c r="Y66" i="1" l="1"/>
  <c r="Z66" i="1"/>
  <c r="Y65" i="1"/>
  <c r="Z65" i="1"/>
  <c r="Y36" i="1"/>
  <c r="Z36" i="1"/>
  <c r="Z42" i="1"/>
  <c r="Z27" i="1"/>
  <c r="Y20" i="1"/>
  <c r="Y21" i="1"/>
  <c r="Z21" i="1"/>
  <c r="Z10" i="1" l="1"/>
  <c r="X12" i="1" l="1"/>
  <c r="Y12" i="1" s="1"/>
  <c r="Z12" i="1" l="1"/>
  <c r="X13" i="1" s="1"/>
  <c r="Z13" i="1" l="1"/>
  <c r="X14" i="1" s="1"/>
  <c r="Y14" i="1" l="1"/>
  <c r="Z14" i="1"/>
  <c r="X15" i="1" s="1"/>
  <c r="Y13" i="1"/>
  <c r="Y15" i="1" l="1"/>
  <c r="Z15" i="1"/>
  <c r="AB63" i="1" l="1"/>
  <c r="AB24" i="1" l="1"/>
  <c r="AA62" i="1"/>
  <c r="AB12" i="1"/>
  <c r="AA63" i="1"/>
  <c r="AB64" i="1"/>
  <c r="AB4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64" i="1"/>
  <c r="AB65" i="1"/>
  <c r="K35" i="19"/>
  <c r="AC25" i="19"/>
  <c r="K45" i="19"/>
  <c r="AI45" i="19"/>
  <c r="W45" i="19"/>
  <c r="Q35" i="19"/>
  <c r="K55" i="19"/>
  <c r="AC15" i="19"/>
  <c r="Q15" i="19"/>
  <c r="AC35" i="19"/>
  <c r="AI35" i="19"/>
  <c r="Q55" i="19"/>
  <c r="AI25" i="19"/>
  <c r="AC62"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D55" i="19"/>
  <c r="R15" i="19"/>
  <c r="AJ35" i="19"/>
  <c r="AC63"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B19" i="1"/>
  <c r="AB3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A40" i="1"/>
  <c r="AB42" i="1"/>
  <c r="AA42" i="1" s="1"/>
  <c r="AB41" i="1"/>
  <c r="AA41" i="1" s="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4" i="1" l="1"/>
  <c r="AB15" i="1"/>
  <c r="AA15"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65" i="1"/>
  <c r="AB66" i="1"/>
  <c r="AA66"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26" i="1"/>
  <c r="AA26" i="1" s="1"/>
  <c r="AA25" i="1"/>
  <c r="AB27" i="1"/>
  <c r="AA27" i="1" s="1"/>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4"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1"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2" i="1"/>
  <c r="AG11" i="19"/>
  <c r="AM41" i="19"/>
  <c r="AA21" i="19"/>
  <c r="AA51" i="19"/>
  <c r="U51" i="19"/>
  <c r="U31" i="19"/>
  <c r="AA11" i="19"/>
  <c r="AG21" i="19"/>
  <c r="O31" i="19"/>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B35" i="1"/>
  <c r="AE11" i="19"/>
  <c r="Y41" i="19"/>
  <c r="M41" i="19"/>
  <c r="Y21" i="19"/>
  <c r="AK41" i="19"/>
  <c r="S31" i="19"/>
  <c r="M31" i="19"/>
  <c r="M51" i="19"/>
  <c r="Y51" i="19"/>
  <c r="AK21" i="19"/>
  <c r="AK31" i="19"/>
  <c r="Y11" i="19"/>
  <c r="AE41" i="19"/>
  <c r="AE21" i="19"/>
  <c r="S51" i="19"/>
  <c r="AE51" i="19"/>
  <c r="AK51" i="19"/>
  <c r="M21" i="19"/>
  <c r="AE31" i="19"/>
  <c r="AC40"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A35" i="1" l="1"/>
  <c r="AB36" i="1"/>
  <c r="AA36"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6"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5"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6"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5"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Z42" i="18" l="1"/>
  <c r="T18" i="18"/>
  <c r="AF34" i="18"/>
  <c r="AF42" i="18"/>
  <c r="N42" i="18"/>
  <c r="Z18" i="18"/>
  <c r="AL10" i="18"/>
  <c r="AL26" i="18"/>
  <c r="AF26" i="18"/>
  <c r="Z10" i="18"/>
  <c r="N18" i="18"/>
  <c r="T26" i="18"/>
  <c r="AF10" i="18"/>
  <c r="T34" i="18"/>
  <c r="N26" i="18"/>
  <c r="AL18" i="18"/>
  <c r="N10" i="18"/>
  <c r="AF18" i="18"/>
  <c r="Z26" i="18"/>
  <c r="AL34" i="18"/>
  <c r="Z34" i="18"/>
  <c r="T10" i="18"/>
  <c r="AL42" i="18"/>
  <c r="N34" i="18"/>
  <c r="T42" i="18"/>
  <c r="AH34" i="19" l="1"/>
  <c r="V14" i="19"/>
  <c r="J14" i="19"/>
  <c r="AB34" i="19"/>
  <c r="V44" i="19"/>
  <c r="J44" i="19"/>
  <c r="AB44" i="19"/>
  <c r="P54" i="19"/>
  <c r="AB54" i="19"/>
  <c r="J54" i="19"/>
  <c r="AH24" i="19"/>
  <c r="P14" i="19"/>
  <c r="P34" i="19"/>
  <c r="J24" i="19"/>
  <c r="AH14" i="19"/>
  <c r="AH54" i="19"/>
  <c r="AH44" i="19"/>
  <c r="V34" i="19"/>
  <c r="V24" i="19"/>
  <c r="J34" i="19"/>
  <c r="P44" i="19"/>
  <c r="V54" i="19"/>
  <c r="AB24" i="19"/>
  <c r="AB14" i="19"/>
  <c r="P24" i="19"/>
  <c r="V25" i="19"/>
  <c r="V45" i="19"/>
  <c r="J15" i="19"/>
  <c r="AB45" i="19"/>
  <c r="AH25" i="19"/>
  <c r="AH55" i="19"/>
  <c r="AB15" i="19"/>
  <c r="P15" i="19"/>
  <c r="P45" i="19"/>
  <c r="V15" i="19"/>
  <c r="J35" i="19"/>
  <c r="AH45" i="19"/>
  <c r="J25" i="19"/>
  <c r="AB35" i="19"/>
  <c r="AH15" i="19"/>
  <c r="V35" i="19"/>
  <c r="J55" i="19"/>
  <c r="AB55" i="19"/>
  <c r="AB25" i="19"/>
  <c r="AH35" i="19"/>
  <c r="P55" i="19"/>
  <c r="J45" i="19"/>
  <c r="P25" i="19"/>
  <c r="P35" i="19"/>
  <c r="V55" i="19"/>
  <c r="W11" i="19" l="1"/>
  <c r="AC41" i="19"/>
  <c r="K21" i="19"/>
  <c r="K51" i="19"/>
  <c r="Q51" i="19"/>
  <c r="AC21" i="19"/>
  <c r="AI31" i="19"/>
  <c r="Q21" i="19"/>
  <c r="AI41" i="19"/>
  <c r="Q11" i="19"/>
  <c r="W21" i="19"/>
  <c r="K31" i="19"/>
  <c r="Q41" i="19"/>
  <c r="AC11" i="19"/>
  <c r="W51" i="19"/>
  <c r="K11" i="19"/>
  <c r="AI51" i="19"/>
  <c r="AC31" i="19"/>
  <c r="AI11" i="19"/>
  <c r="W41" i="19"/>
  <c r="Q31" i="19"/>
  <c r="AC51" i="19"/>
  <c r="K41" i="19"/>
  <c r="AI21" i="19"/>
  <c r="W31" i="19"/>
  <c r="AD31" i="19"/>
  <c r="L21" i="19"/>
  <c r="R51" i="19"/>
  <c r="L51" i="19"/>
  <c r="L41" i="19"/>
  <c r="R41" i="19"/>
  <c r="AD11" i="19"/>
  <c r="R21" i="19"/>
  <c r="L11" i="19"/>
  <c r="X31" i="19"/>
  <c r="AJ51" i="19"/>
  <c r="R11" i="19"/>
  <c r="AJ31" i="19"/>
  <c r="L31" i="19"/>
  <c r="AD21" i="19"/>
  <c r="AD41" i="19"/>
  <c r="X51" i="19"/>
  <c r="X11" i="19"/>
  <c r="AJ21" i="19"/>
  <c r="AJ11" i="19"/>
  <c r="X21" i="19"/>
  <c r="X41" i="19"/>
  <c r="AJ41" i="19"/>
  <c r="R31" i="19"/>
  <c r="AD51" i="19"/>
  <c r="AD29" i="19"/>
  <c r="L49" i="19"/>
  <c r="L39" i="19"/>
  <c r="L29" i="19"/>
  <c r="AD49" i="19"/>
  <c r="AD19" i="19"/>
  <c r="X19" i="19"/>
  <c r="R19" i="19"/>
  <c r="R49" i="19"/>
  <c r="AJ39" i="19"/>
  <c r="R39" i="19"/>
  <c r="X29" i="19"/>
  <c r="X9" i="19"/>
  <c r="R9" i="19"/>
  <c r="X39" i="19"/>
  <c r="AJ29" i="19"/>
  <c r="AJ19" i="19"/>
  <c r="AD9" i="19"/>
  <c r="X49" i="19"/>
  <c r="L9" i="19"/>
  <c r="AJ9" i="19"/>
  <c r="AD39" i="19"/>
  <c r="AJ49" i="19"/>
  <c r="R29" i="19"/>
  <c r="L19" i="19"/>
  <c r="Q49" i="19"/>
  <c r="K9" i="19"/>
  <c r="K49" i="19"/>
  <c r="W9" i="19"/>
  <c r="W49" i="19"/>
  <c r="W19" i="19"/>
  <c r="Q19" i="19"/>
  <c r="K39" i="19"/>
  <c r="AC9" i="19"/>
  <c r="AI39" i="19"/>
  <c r="Q9" i="19"/>
  <c r="AC29" i="19"/>
  <c r="AC39" i="19"/>
  <c r="AI9" i="19"/>
  <c r="K29" i="19"/>
  <c r="AI29" i="19"/>
  <c r="AI19" i="19"/>
  <c r="W29" i="19"/>
  <c r="Q29" i="19"/>
  <c r="AC49" i="19"/>
  <c r="W39" i="19"/>
  <c r="AI49" i="19"/>
  <c r="AC19" i="19"/>
  <c r="K19" i="19"/>
  <c r="Q39" i="19"/>
  <c r="B223" i="13"/>
  <c r="B222" i="13"/>
  <c r="K52" i="1" l="1"/>
  <c r="L52" i="1" s="1"/>
  <c r="K49" i="1"/>
  <c r="L49" i="1" s="1"/>
  <c r="K37" i="1"/>
  <c r="L37" i="1" s="1"/>
  <c r="K22" i="1"/>
  <c r="L22" i="1" s="1"/>
  <c r="K16" i="1"/>
  <c r="L16" i="1" s="1"/>
  <c r="K10" i="1"/>
  <c r="L10" i="1" s="1"/>
  <c r="K43" i="1"/>
  <c r="L43" i="1" s="1"/>
  <c r="K28" i="1"/>
  <c r="L28" i="1" s="1"/>
  <c r="K61" i="1"/>
  <c r="L61" i="1" s="1"/>
  <c r="K34" i="1"/>
  <c r="L34" i="1" s="1"/>
  <c r="P34" i="18" l="1"/>
  <c r="AH42" i="18"/>
  <c r="J10" i="18"/>
  <c r="V18" i="18"/>
  <c r="AB18" i="18"/>
  <c r="AB26" i="18"/>
  <c r="AB10" i="18"/>
  <c r="AB42" i="18"/>
  <c r="AH26" i="18"/>
  <c r="J18" i="18"/>
  <c r="AH34" i="18"/>
  <c r="V26" i="18"/>
  <c r="N43" i="1"/>
  <c r="J34" i="18"/>
  <c r="P10" i="18"/>
  <c r="AB34" i="18"/>
  <c r="P26" i="18"/>
  <c r="V34" i="18"/>
  <c r="V10" i="18"/>
  <c r="J26" i="18"/>
  <c r="M43" i="1"/>
  <c r="AB43" i="1" s="1"/>
  <c r="AA43" i="1" s="1"/>
  <c r="P42" i="18"/>
  <c r="AH18" i="18"/>
  <c r="AH10" i="18"/>
  <c r="J42" i="18"/>
  <c r="V42" i="18"/>
  <c r="P18" i="18"/>
  <c r="J14" i="18"/>
  <c r="M10" i="1"/>
  <c r="AB10" i="1" s="1"/>
  <c r="AA10" i="1" s="1"/>
  <c r="P30" i="18"/>
  <c r="P14" i="18"/>
  <c r="AB22" i="18"/>
  <c r="AH30" i="18"/>
  <c r="AH22" i="18"/>
  <c r="P22" i="18"/>
  <c r="J6" i="18"/>
  <c r="V22" i="18"/>
  <c r="V30" i="18"/>
  <c r="J38" i="18"/>
  <c r="P6" i="18"/>
  <c r="N10" i="1"/>
  <c r="V14" i="18"/>
  <c r="AB14" i="18"/>
  <c r="AH6" i="18"/>
  <c r="AB38" i="18"/>
  <c r="V6" i="18"/>
  <c r="AB6" i="18"/>
  <c r="V38" i="18"/>
  <c r="J30" i="18"/>
  <c r="AB30" i="18"/>
  <c r="AH14" i="18"/>
  <c r="P38" i="18"/>
  <c r="J22" i="18"/>
  <c r="AH38" i="18"/>
  <c r="X6" i="18"/>
  <c r="N16" i="1"/>
  <c r="AD6" i="18"/>
  <c r="L38" i="18"/>
  <c r="AJ30" i="18"/>
  <c r="AD22" i="18"/>
  <c r="AD30" i="18"/>
  <c r="AD14" i="18"/>
  <c r="R22" i="18"/>
  <c r="M16" i="1"/>
  <c r="AB16" i="1" s="1"/>
  <c r="AA16" i="1" s="1"/>
  <c r="AJ38" i="18"/>
  <c r="R6" i="18"/>
  <c r="AJ6" i="18"/>
  <c r="L6" i="18"/>
  <c r="X14" i="18"/>
  <c r="AJ22" i="18"/>
  <c r="R14" i="18"/>
  <c r="R30" i="18"/>
  <c r="L30" i="18"/>
  <c r="X30" i="18"/>
  <c r="X22" i="18"/>
  <c r="R38" i="18"/>
  <c r="L14" i="18"/>
  <c r="X38" i="18"/>
  <c r="AJ14" i="18"/>
  <c r="L22" i="18"/>
  <c r="AD38" i="18"/>
  <c r="AB24" i="18"/>
  <c r="P16" i="18"/>
  <c r="AH40" i="18"/>
  <c r="V16" i="18"/>
  <c r="P40" i="18"/>
  <c r="J8" i="18"/>
  <c r="N28" i="1"/>
  <c r="M28" i="1"/>
  <c r="AB28" i="1" s="1"/>
  <c r="AA28" i="1" s="1"/>
  <c r="V32" i="18"/>
  <c r="AB32" i="18"/>
  <c r="AH32" i="18"/>
  <c r="J16" i="18"/>
  <c r="AH16" i="18"/>
  <c r="AB8" i="18"/>
  <c r="V40" i="18"/>
  <c r="P32" i="18"/>
  <c r="AB16" i="18"/>
  <c r="J24" i="18"/>
  <c r="J40" i="18"/>
  <c r="V24" i="18"/>
  <c r="V8" i="18"/>
  <c r="J32" i="18"/>
  <c r="AB40" i="18"/>
  <c r="P24" i="18"/>
  <c r="AH24" i="18"/>
  <c r="P8" i="18"/>
  <c r="AH8" i="18"/>
  <c r="AL14" i="18"/>
  <c r="N38" i="18"/>
  <c r="Z30" i="18"/>
  <c r="N22" i="18"/>
  <c r="AL30" i="18"/>
  <c r="AL6" i="18"/>
  <c r="T30" i="18"/>
  <c r="T14" i="18"/>
  <c r="N22" i="1"/>
  <c r="AL22" i="18"/>
  <c r="Z14" i="18"/>
  <c r="AL38" i="18"/>
  <c r="AF22" i="18"/>
  <c r="T6" i="18"/>
  <c r="Z38" i="18"/>
  <c r="T22" i="18"/>
  <c r="N14" i="18"/>
  <c r="N6" i="18"/>
  <c r="AF14" i="18"/>
  <c r="N30" i="18"/>
  <c r="Z6" i="18"/>
  <c r="AF6" i="18"/>
  <c r="AF30" i="18"/>
  <c r="T38" i="18"/>
  <c r="AF38" i="18"/>
  <c r="Z22" i="18"/>
  <c r="M22" i="1"/>
  <c r="AB22" i="1" s="1"/>
  <c r="AA22" i="1" s="1"/>
  <c r="P28" i="18"/>
  <c r="P36" i="18"/>
  <c r="AB20" i="18"/>
  <c r="N61" i="1"/>
  <c r="AB44" i="18"/>
  <c r="AB36" i="18"/>
  <c r="AH20" i="18"/>
  <c r="AH12" i="18"/>
  <c r="AH36" i="18"/>
  <c r="V12" i="18"/>
  <c r="J36" i="18"/>
  <c r="P12" i="18"/>
  <c r="V44" i="18"/>
  <c r="AH28" i="18"/>
  <c r="V36" i="18"/>
  <c r="AH44" i="18"/>
  <c r="J28" i="18"/>
  <c r="P44" i="18"/>
  <c r="V20" i="18"/>
  <c r="AB12" i="18"/>
  <c r="J20" i="18"/>
  <c r="M61" i="1"/>
  <c r="J44" i="18"/>
  <c r="P20" i="18"/>
  <c r="V28" i="18"/>
  <c r="J12" i="18"/>
  <c r="AB28" i="18"/>
  <c r="AF32" i="18"/>
  <c r="T24" i="18"/>
  <c r="N24" i="18"/>
  <c r="T40" i="18"/>
  <c r="AL24" i="18"/>
  <c r="T32" i="18"/>
  <c r="N37" i="1"/>
  <c r="Z40" i="18"/>
  <c r="AF40" i="18"/>
  <c r="AL8" i="18"/>
  <c r="AL32" i="18"/>
  <c r="Z24" i="18"/>
  <c r="M37" i="1"/>
  <c r="AB37" i="1" s="1"/>
  <c r="AA37" i="1" s="1"/>
  <c r="Z32" i="18"/>
  <c r="T16" i="18"/>
  <c r="N16" i="18"/>
  <c r="Z8" i="18"/>
  <c r="AL16" i="18"/>
  <c r="N32" i="18"/>
  <c r="AF8" i="18"/>
  <c r="N8" i="18"/>
  <c r="AF16" i="18"/>
  <c r="AF24" i="18"/>
  <c r="T8" i="18"/>
  <c r="AL40" i="18"/>
  <c r="N40" i="18"/>
  <c r="Z16" i="18"/>
  <c r="R8" i="18"/>
  <c r="X24" i="18"/>
  <c r="X32" i="18"/>
  <c r="AD24" i="18"/>
  <c r="AJ8" i="18"/>
  <c r="AJ40" i="18"/>
  <c r="AJ16" i="18"/>
  <c r="AJ32" i="18"/>
  <c r="M34" i="1"/>
  <c r="AB34" i="1" s="1"/>
  <c r="AA34" i="1" s="1"/>
  <c r="R16" i="18"/>
  <c r="L16" i="18"/>
  <c r="AD8" i="18"/>
  <c r="R40" i="18"/>
  <c r="AD40" i="18"/>
  <c r="R24" i="18"/>
  <c r="X40" i="18"/>
  <c r="L40" i="18"/>
  <c r="AD32" i="18"/>
  <c r="L8" i="18"/>
  <c r="N34" i="1"/>
  <c r="X16" i="18"/>
  <c r="AD16" i="18"/>
  <c r="AJ24" i="18"/>
  <c r="R32" i="18"/>
  <c r="L32" i="18"/>
  <c r="L24" i="18"/>
  <c r="X8" i="18"/>
  <c r="M49" i="1"/>
  <c r="AB49" i="1" s="1"/>
  <c r="AA49" i="1" s="1"/>
  <c r="N49" i="1"/>
  <c r="X18" i="18"/>
  <c r="L18" i="18"/>
  <c r="X26" i="18"/>
  <c r="X42" i="18"/>
  <c r="X34" i="18"/>
  <c r="AJ26" i="18"/>
  <c r="AJ18" i="18"/>
  <c r="R26" i="18"/>
  <c r="AD34" i="18"/>
  <c r="X10" i="18"/>
  <c r="AD18" i="18"/>
  <c r="R42" i="18"/>
  <c r="AD10" i="18"/>
  <c r="R18" i="18"/>
  <c r="R34" i="18"/>
  <c r="AD26" i="18"/>
  <c r="AJ10" i="18"/>
  <c r="L34" i="18"/>
  <c r="L26" i="18"/>
  <c r="L10" i="18"/>
  <c r="AD42" i="18"/>
  <c r="AJ42" i="18"/>
  <c r="L42" i="18"/>
  <c r="AJ34" i="18"/>
  <c r="R10" i="18"/>
  <c r="M52" i="1"/>
  <c r="AB52" i="1" s="1"/>
  <c r="AA52" i="1" s="1"/>
  <c r="N52" i="1"/>
  <c r="AH31" i="19" l="1"/>
  <c r="J51" i="19"/>
  <c r="J41" i="19"/>
  <c r="AH21" i="19"/>
  <c r="J21" i="19"/>
  <c r="P51" i="19"/>
  <c r="J11" i="19"/>
  <c r="AB21" i="19"/>
  <c r="AH41" i="19"/>
  <c r="AC37" i="1"/>
  <c r="AB31" i="19"/>
  <c r="V11" i="19"/>
  <c r="P21" i="19"/>
  <c r="V31" i="19"/>
  <c r="V51" i="19"/>
  <c r="P41" i="19"/>
  <c r="AB11" i="19"/>
  <c r="J31" i="19"/>
  <c r="P11" i="19"/>
  <c r="P31" i="19"/>
  <c r="V41" i="19"/>
  <c r="AH11" i="19"/>
  <c r="AB51" i="19"/>
  <c r="AH51" i="19"/>
  <c r="AB41" i="19"/>
  <c r="V21" i="19"/>
  <c r="V28" i="19"/>
  <c r="J28" i="19"/>
  <c r="J18" i="19"/>
  <c r="P28" i="19"/>
  <c r="V38" i="19"/>
  <c r="AH8" i="19"/>
  <c r="AB8" i="19"/>
  <c r="V48" i="19"/>
  <c r="P18" i="19"/>
  <c r="P38" i="19"/>
  <c r="AB38" i="19"/>
  <c r="AH18" i="19"/>
  <c r="J48" i="19"/>
  <c r="P48" i="19"/>
  <c r="P8" i="19"/>
  <c r="J38" i="19"/>
  <c r="J8" i="19"/>
  <c r="V18" i="19"/>
  <c r="V8" i="19"/>
  <c r="AB18" i="19"/>
  <c r="AB28" i="19"/>
  <c r="AH48" i="19"/>
  <c r="AC22" i="1"/>
  <c r="AH28" i="19"/>
  <c r="AB48" i="19"/>
  <c r="AH38" i="19"/>
  <c r="V30" i="19"/>
  <c r="V40" i="19"/>
  <c r="AH50" i="19"/>
  <c r="AB20" i="19"/>
  <c r="AB30" i="19"/>
  <c r="P50" i="19"/>
  <c r="P10" i="19"/>
  <c r="AB50" i="19"/>
  <c r="V10" i="19"/>
  <c r="AH30" i="19"/>
  <c r="AH40" i="19"/>
  <c r="J30" i="19"/>
  <c r="V50" i="19"/>
  <c r="J10" i="19"/>
  <c r="J20" i="19"/>
  <c r="P40" i="19"/>
  <c r="P30" i="19"/>
  <c r="AH10" i="19"/>
  <c r="J40" i="19"/>
  <c r="AB40" i="19"/>
  <c r="AC34" i="1"/>
  <c r="P20" i="19"/>
  <c r="AB10" i="19"/>
  <c r="J50" i="19"/>
  <c r="AH20" i="19"/>
  <c r="V20" i="19"/>
  <c r="AC49" i="1"/>
  <c r="AH23" i="19"/>
  <c r="J53" i="19"/>
  <c r="J13" i="19"/>
  <c r="AB23" i="19"/>
  <c r="AB53" i="19"/>
  <c r="V43" i="19"/>
  <c r="AH33" i="19"/>
  <c r="V23" i="19"/>
  <c r="V53" i="19"/>
  <c r="AB13" i="19"/>
  <c r="P53" i="19"/>
  <c r="P23" i="19"/>
  <c r="V13" i="19"/>
  <c r="J33" i="19"/>
  <c r="AB33" i="19"/>
  <c r="P43" i="19"/>
  <c r="AH53" i="19"/>
  <c r="AB43" i="19"/>
  <c r="J43" i="19"/>
  <c r="J23" i="19"/>
  <c r="P13" i="19"/>
  <c r="AH13" i="19"/>
  <c r="V33" i="19"/>
  <c r="AH43" i="19"/>
  <c r="P33" i="19"/>
  <c r="AH46" i="19"/>
  <c r="V26" i="19"/>
  <c r="AB36" i="19"/>
  <c r="J16" i="19"/>
  <c r="AB46" i="19"/>
  <c r="AH36" i="19"/>
  <c r="AB6" i="19"/>
  <c r="J6" i="19"/>
  <c r="P26" i="19"/>
  <c r="P36" i="19"/>
  <c r="V6" i="19"/>
  <c r="P46" i="19"/>
  <c r="V16" i="19"/>
  <c r="J36" i="19"/>
  <c r="P16" i="19"/>
  <c r="V36" i="19"/>
  <c r="J26" i="19"/>
  <c r="AB26" i="19"/>
  <c r="P6" i="19"/>
  <c r="AB16" i="19"/>
  <c r="AC10" i="1"/>
  <c r="J46" i="19"/>
  <c r="AH6" i="19"/>
  <c r="AH26" i="19"/>
  <c r="AH16" i="19"/>
  <c r="V46" i="19"/>
  <c r="AB12" i="19"/>
  <c r="AH32" i="19"/>
  <c r="AB52" i="19"/>
  <c r="AH52" i="19"/>
  <c r="P42" i="19"/>
  <c r="P32" i="19"/>
  <c r="V22" i="19"/>
  <c r="J22" i="19"/>
  <c r="J12" i="19"/>
  <c r="AB22" i="19"/>
  <c r="V52" i="19"/>
  <c r="AB32" i="19"/>
  <c r="V32" i="19"/>
  <c r="J42" i="19"/>
  <c r="AH22" i="19"/>
  <c r="P52" i="19"/>
  <c r="P22" i="19"/>
  <c r="J52" i="19"/>
  <c r="V12" i="19"/>
  <c r="AB42" i="19"/>
  <c r="P12" i="19"/>
  <c r="J32" i="19"/>
  <c r="AH12" i="19"/>
  <c r="V42" i="19"/>
  <c r="AH42" i="19"/>
  <c r="AC43" i="1"/>
  <c r="AC52" i="1"/>
  <c r="AK13" i="19"/>
  <c r="AK43" i="19"/>
  <c r="Y53" i="19"/>
  <c r="S43" i="19"/>
  <c r="AK23" i="19"/>
  <c r="S53" i="19"/>
  <c r="AK33" i="19"/>
  <c r="Y33" i="19"/>
  <c r="M23" i="19"/>
  <c r="Y23" i="19"/>
  <c r="M33" i="19"/>
  <c r="AK53" i="19"/>
  <c r="AE13" i="19"/>
  <c r="Y43" i="19"/>
  <c r="AE33" i="19"/>
  <c r="S23" i="19"/>
  <c r="M53" i="19"/>
  <c r="M43" i="19"/>
  <c r="AE53" i="19"/>
  <c r="Y13" i="19"/>
  <c r="AE43" i="19"/>
  <c r="S13" i="19"/>
  <c r="AE23" i="19"/>
  <c r="S33" i="19"/>
  <c r="M13" i="19"/>
  <c r="AH7" i="19"/>
  <c r="AH47" i="19"/>
  <c r="AB27" i="19"/>
  <c r="AH17" i="19"/>
  <c r="V17" i="19"/>
  <c r="J27" i="19"/>
  <c r="AB47" i="19"/>
  <c r="AH37" i="19"/>
  <c r="AB37" i="19"/>
  <c r="AB17" i="19"/>
  <c r="P37" i="19"/>
  <c r="P47" i="19"/>
  <c r="J7" i="19"/>
  <c r="AB7" i="19"/>
  <c r="J37" i="19"/>
  <c r="V7" i="19"/>
  <c r="J17" i="19"/>
  <c r="P7" i="19"/>
  <c r="P27" i="19"/>
  <c r="AC16" i="1"/>
  <c r="P17" i="19"/>
  <c r="V37" i="19"/>
  <c r="AH27" i="19"/>
  <c r="J47" i="19"/>
  <c r="V47" i="19"/>
  <c r="V27" i="19"/>
  <c r="V9" i="19"/>
  <c r="J9" i="19"/>
  <c r="P49" i="19"/>
  <c r="AH49" i="19"/>
  <c r="P9" i="19"/>
  <c r="AB49" i="19"/>
  <c r="AH39" i="19"/>
  <c r="P39" i="19"/>
  <c r="J19" i="19"/>
  <c r="V29" i="19"/>
  <c r="V19" i="19"/>
  <c r="J49" i="19"/>
  <c r="AH29" i="19"/>
  <c r="AB19" i="19"/>
  <c r="J29" i="19"/>
  <c r="AB29" i="19"/>
  <c r="V49" i="19"/>
  <c r="V39" i="19"/>
  <c r="J39" i="19"/>
  <c r="AC28" i="1"/>
  <c r="AB9" i="19"/>
  <c r="AH9" i="19"/>
  <c r="AH19" i="19"/>
  <c r="P19" i="19"/>
  <c r="AB39" i="19"/>
  <c r="P29"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<sst xmlns="http://schemas.openxmlformats.org/spreadsheetml/2006/main" count="549" uniqueCount="302">
  <si>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</si>
  <si>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</si>
  <si>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</si>
  <si>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</si>
  <si>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</si>
  <si>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</si>
  <si>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</si>
  <si>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</si>
  <si>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</si>
  <si>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</si>
  <si>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</si>
  <si>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</si>
  <si>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</si>
  <si>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</si>
  <si>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</si>
  <si>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</si>
  <si>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</si>
  <si>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</si>
  <si>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</si>
  <si>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</si>
  <si>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</si>
  <si>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</si>
  <si>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</si>
  <si>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</si>
  <si>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</si>
  <si>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</si>
  <si>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</si>
  <si>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</si>
  <si>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</si>
  <si>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</si>
  <si>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</si>
  <si>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</si>
  <si>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</si>
  <si>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</si>
  <si>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</si>
  <si>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</si>
  <si>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</si>
  <si>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</si>
  <si>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</si>
  <si>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</si>
  <si>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</si>
  <si>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</si>
  <si>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</si>
  <si>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</si>
  <si>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</si>
  <si>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</si>
  <si>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</si>
  <si>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</si>
  <si>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</si>
  <si>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</si>
  <si>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</si>
  <si>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</si>
  <si>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</si>
  <si>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</si>
  <si>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</si>
  <si>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</si>
  <si>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</si>
  <si>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</si>
  <si>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</si>
  <si>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</si>
  <si>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</si>
  <si>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</si>
  <si>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</si>
  <si>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</si>
  <si>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</si>
  <si>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</si>
  <si>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</si>
  <si>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</si>
  <si>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</si>
  <si>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</si>
  <si>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</si>
  <si>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</si>
  <si>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</si>
  <si>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</si>
  <si>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</si>
  <si>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</si>
  <si>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</si>
  <si>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</si>
  <si>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</si>
  <si>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</si>
  <si>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</si>
  <si>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</si>
  <si>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</si>
  <si>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</si>
  <si>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</si>
  <si>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</si>
  <si>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</si>
  <si>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</si>
  <si>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</si>
  <si>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</si>
  <si>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</si>
  <si>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</si>
  <si>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</si>
  <si>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</si>
  <si>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</si>
  <si>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</si>
  <si>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</si>
  <si>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</si>
  <si>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</si>
  <si>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</si>
  <si>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</si>
  <si>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</si>
  <si>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</si>
  <si>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</si>
  <si>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</si>
  <si>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</si>
  <si>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</si>
  <si>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</si>
  <si>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</si>
  <si>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</si>
  <si>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</si>
  <si>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</si>
  <si>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</si>
  <si>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</si>
  <si>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</si>
  <si>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</si>
  <si>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</si>
  <si>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</si>
  <si>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</si>
  <si>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</si>
  <si>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</si>
  <si>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</si>
  <si>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</si>
  <si>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</si>
  <si>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</si>
  <si>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</si>
  <si>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</si>
  <si>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</si>
  <si>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</si>
  <si>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</si>
  <si>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</si>
  <si>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</si>
  <si>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</si>
  <si>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</si>
  <si>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</si>
  <si>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</si>
  <si>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</si>
  <si>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</si>
  <si>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</si>
  <si>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</si>
  <si>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</si>
  <si>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</si>
  <si>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</si>
  <si>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</si>
  <si>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</si>
  <si>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</si>
  <si>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</si>
  <si>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</si>
  <si>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</si>
  <si>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</si>
  <si>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</si>
  <si>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</si>
  <si>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</si>
  <si>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</si>
  <si>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</si>
  <si>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</si>
  <si>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</si>
  <si>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</si>
  <si>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</si>
  <si>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</si>
  <si>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</si>
  <si>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</si>
  <si>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</si>
  <si>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</si>
  <si>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</si>
  <si>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</si>
  <si>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</si>
  <si>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</si>
  <si>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</si>
  <si>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</si>
  <si>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</si>
  <si>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</si>
  <si>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</si>
  <si>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</si>
  <si>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</si>
  <si>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</si>
  <si>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</si>
  <si>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</si>
  <si>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</si>
  <si>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</si>
  <si>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</si>
  <si>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</si>
  <si>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</si>
  <si>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</si>
  <si>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</si>
  <si>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</si>
  <si>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</si>
  <si>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</si>
  <si>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</si>
  <si>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</si>
  <si>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</si>
  <si>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</si>
  <si>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</si>
  <si>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</si>
  <si>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</si>
  <si>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</si>
  <si>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</si>
  <si>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</si>
  <si>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</si>
  <si>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</si>
  <si>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</si>
  <si>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</si>
  <si>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</si>
  <si>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</si>
  <si>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</si>
  <si>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</si>
  <si>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</si>
  <si>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</si>
  <si>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</si>
  <si>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</si>
  <si>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</si>
  <si>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 CC</t>
  </si>
  <si>
    <t>SEGUIMIENTO</t>
  </si>
  <si>
    <t>Permanente</t>
  </si>
  <si>
    <t>SUBDIRECCIÓN ADMINISTRATIVA Y FINANCIERA</t>
  </si>
  <si>
    <t>Insolvencia para pago de obligaciones</t>
  </si>
  <si>
    <t>SUBDIRECCIÓN ADMINISTRATIVA Y FINANCIERA - TESORERIA</t>
  </si>
  <si>
    <t>Ineficiencia Administrativa</t>
  </si>
  <si>
    <t>Elaboración, ejecución del Plan anual de Caja- PAC</t>
  </si>
  <si>
    <t xml:space="preserve">  Plan anual de Caja- PAC</t>
  </si>
  <si>
    <t xml:space="preserve">
31/07/2023</t>
  </si>
  <si>
    <t>Realizacion de la consolidacion del PAC mensualmente.</t>
  </si>
  <si>
    <t>Falta de gestion para la consecucion de los recursos .</t>
  </si>
  <si>
    <t>Falta de gestion para la consecucion de los recursos.</t>
  </si>
  <si>
    <t>Posibilidad de un daño economico y reputacional referente a la ineficiencia Administrativa en la gestion para la consecucion de los recursos.</t>
  </si>
  <si>
    <t>Plan de Acción+AE7</t>
  </si>
  <si>
    <t>PROCESO DIRECCIONAMIENTO ESTRATÉGICO</t>
  </si>
  <si>
    <r>
      <t xml:space="preserve">CÓDIGO: </t>
    </r>
    <r>
      <rPr>
        <sz val="10"/>
        <rFont val="Arial"/>
        <family val="2"/>
      </rPr>
      <t>DIE-FO-022</t>
    </r>
  </si>
  <si>
    <t>MATRIZ DE RIESGOS DE PROCESO</t>
  </si>
  <si>
    <r>
      <t xml:space="preserve">VERSIÓN: </t>
    </r>
    <r>
      <rPr>
        <sz val="10"/>
        <rFont val="Arial"/>
        <family val="2"/>
      </rPr>
      <t>01</t>
    </r>
  </si>
  <si>
    <t>Avance PA</t>
  </si>
  <si>
    <t>FISCAL</t>
  </si>
  <si>
    <t>Aplica para todas las dependencias de la entidad y corresponden a actividades que representan gestión fiscal y que potencialmente pueden generar un efecto dañoso al patrimonio público.</t>
  </si>
  <si>
    <t>Definir los lineamientos que se deben seguir para la mitigacion de los riesgos en operaciones fiscales del Área Metropolitana de Bucaramanga de manera clara y oportuna, evitando sanciones y multas que afecten la imagen de la entidad y el detrimentro patrimonial.</t>
  </si>
  <si>
    <t>Saldos o recursos a favor no cobrados</t>
  </si>
  <si>
    <t>Pérdida, extravío, hurto, robo o declaratoria de bienes faltantes pertenecientes a la Entidad</t>
  </si>
  <si>
    <t>Valor pagado por concepto de honorarios de apoderado cuando ocurre vencimiento de términos en los procesos judiciales o cualquier otra omisión del apoderado</t>
  </si>
  <si>
    <t>Intereses moratorios por pago tardío de sentencias y conciliaciones</t>
  </si>
  <si>
    <t>Pérdida de competencia para liquidar por vencimiento del plazo legal, con saldos a favor de la Entidad</t>
  </si>
  <si>
    <t xml:space="preserve">Deudas a favor de la entidad </t>
  </si>
  <si>
    <t>Contratos finalizados en los que se contemplaba o requería liquidación.</t>
  </si>
  <si>
    <t>Pago de sentencias y conciliaciones.</t>
  </si>
  <si>
    <t>Custodiar de los bienes muebles de la entidad</t>
  </si>
  <si>
    <t>Operaciones, actas o actos en los que se reconocen saldos a favor de la entidad</t>
  </si>
  <si>
    <t xml:space="preserve">No incluir en el contrato de seguros -amparo de bienes de la entidad- todos los bienes muebles e inmuebles de la entidad </t>
  </si>
  <si>
    <t xml:space="preserve">Suscripción de contratos para la adquisicion de los seguros de la entidad </t>
  </si>
  <si>
    <t xml:space="preserve"> Posibilidad de daño economico y reputacional en la adquisicion de los seguros contra todo riesgo de los bienes de la entidad.</t>
  </si>
  <si>
    <t>Posibilidad de un daño economico y reputacional por el no cobro oportuno de saldos o recursos a favor de la entidad y que configruan patrimonio</t>
  </si>
  <si>
    <t>Posibilidad de un daño economico y reputacional por la no planificacion y accion en la custodia de los bienes de la entidad</t>
  </si>
  <si>
    <t>Posibilidad de un daño economico y reputacional por el no cobro oportuno de recursos que se encuentran en la cartera de la entidad</t>
  </si>
  <si>
    <t>Posibilidad de un daño economico y fiscal en razon a la no liquidacion de contratos con saldos a favor de la entidad, por liquidacion anticipada o no cumplimiento del 100% de las obligaciones pactadas en el contrato</t>
  </si>
  <si>
    <t xml:space="preserve">1/01/2024
</t>
  </si>
  <si>
    <t xml:space="preserve">31/12/2024
</t>
  </si>
  <si>
    <t xml:space="preserve">Almacen dede reportar a supervisor del contrato de seguros cada vez que se ingresen nuevo elementos </t>
  </si>
  <si>
    <t>realizacion de la gestion de cobro coactivo y persuasivo para la recuperacion de la cartera</t>
  </si>
  <si>
    <t xml:space="preserve">Inventarios de elementos con responsables </t>
  </si>
  <si>
    <t>Actuaciones realizadas en proceso de cobro persuasivo y coactivo para lograr el recaudo</t>
  </si>
  <si>
    <t>Informe de elementos ingresados  y novedades al supervisor del contrato de seguros la entidad  (bienes muebles e inmuebles de la entidad )</t>
  </si>
  <si>
    <t>SUBDIRECCIÓN ADMINISTRATIVA Y FINANCIERA- -ALMACEN</t>
  </si>
  <si>
    <t xml:space="preserve">Pago de viáticos, honorarios o gastos de desplazamiento sin legalizar </t>
  </si>
  <si>
    <t xml:space="preserve">Falta de documetos que soporten la comision </t>
  </si>
  <si>
    <t>Posibilidad de un daño economico y reputacional por calculo indibido de los vianticos y otros a los funcionarios de la entidad</t>
  </si>
  <si>
    <t>Seguimiento a la legalizacion de los viaticos por parte de contabilidad</t>
  </si>
  <si>
    <t>Comunicación al funcionario responsable de la comision, solicitando la legacion de estos.</t>
  </si>
  <si>
    <t>SUBDIRECCIÓN ADMINISTRATIVA Y FINANCIERA - CONTABILIDAD</t>
  </si>
  <si>
    <t>Remitir circular a funcionarios de la entidad recordando  la responsiblidad de la custodia de los bienes acargargo</t>
  </si>
  <si>
    <t xml:space="preserve">NO CORRESPONDE  </t>
  </si>
  <si>
    <t xml:space="preserve"> Posibilidad de un daño economico y reputacional por el no pago oportuno de sentencias y conciliaciones</t>
  </si>
  <si>
    <t xml:space="preserve">Seguimiento a todo el pasivo contingente de forma oportuna por parte de la secretaria general </t>
  </si>
  <si>
    <t>Oficio a Secretaria General solicitando  informacion oportuna de los casos judiciales que constityuan pasivos  contigentes en contra de la entidad</t>
  </si>
  <si>
    <t xml:space="preserve">Vencimiento de plazos para la labor de cobro directo (persuasivo o coactivo) </t>
  </si>
  <si>
    <t>No aplica para este periodo</t>
  </si>
  <si>
    <t>SEGUIMIENTO PRIMER CUATRIMESTRE 2024 
- OFICINA DE CONTROL INTERNO</t>
  </si>
  <si>
    <t xml:space="preserve">% CUMPLIMIENTO </t>
  </si>
  <si>
    <t>EVIDENCIA</t>
  </si>
  <si>
    <t xml:space="preserve">SEGUIMIENTO </t>
  </si>
  <si>
    <t xml:space="preserve">% AVANCE  </t>
  </si>
  <si>
    <t>La causa inmediata y la raiz establecida para el riesgo señala que en la suscripción del contrato de seguros no se incluyan los amparos a los bienes de la entidad, no obstante, el plan de acción se enfoca en informes de elementos ingresados y novedades al supervisor del contrato.  No existe coherencia; es decir, las acciones propuestas no atacan las causas que generan la posibilidad de materialización del riesgo.  Se trata de un contrato con amparo a los bienes, no de informes de elementos de bienes. No obstante se cumple la acción propuesta, el riesgo no se ataca.  No existe coherencia entre la idenfificación, el análisis, la evaluación y el tratamiento del riesgo, por lo cual, el control resulta ineficiente frente a la causa señalada.  Se requiere reformular el control, a fin que se atienda la causa inmediata y la raiz establecida.
Fecha de implementación del plan incoherente, debe ser posterior a las fechas de seguimiento.
Se requiere actualizar la (s) fechas de seguimiento, dado que, una fecha de 2024-12-31 establece seguimiento para el tercer cuatrimestre, lo que, riñe con el plan de acción propuesto, con la evaluación del riesgo y el control mismo establecido.  En adición, se realiza seguimiento en el primer cuatrimestre, dado que fueron reportadas evidencias.</t>
  </si>
  <si>
    <t>Informe de entradas de activos y elementos de consumo al Almacén</t>
  </si>
  <si>
    <t>NA</t>
  </si>
  <si>
    <t>Correos electrónicos del 29 de abril de 2024</t>
  </si>
  <si>
    <t>Se encontraron comunicaciones solicitando al director general remitir los documentos requeridos para legalizar los gastos de la comisión.
Fecha de implementación del plan incoherente, debe ser posterior a las fechas de seguimiento.</t>
  </si>
  <si>
    <t>Fecha de seguimiento para el cuarto trimestre, no obstante, se reprocha que la Subdirección Administrativa y Financiera deba esperar hasta el 31 de diciembre de 2024, es decir, hasta el último día de la vigencia para enviar una circular.  Resulta inoficioso e inoperante el plazo señalado.  Si bien, los dueños de proceso son quienes establecen sus programaciones, tales fechas deben enmarcarse dentro del principio de RAZONABILIDAD. Carece de utilidad una circular enviada el último día de la vigencia.  Se requiere ajustar.
Fecha de implementación del plan incoherente, debe ser posterior a las fechas de seguimiento.</t>
  </si>
  <si>
    <t>Correo electrónico del 30 de abril de 2024</t>
  </si>
  <si>
    <t>Causa raiz del riesgo inconclusa, no define el alcance.  No obstante, se cumple el plan mediante el envío de comunicación requieriendo la información de los casos judiciales que puedan constituirse como obligaciones de pago para la entidad.</t>
  </si>
  <si>
    <t>Múltiples documentos propios de la gestión del cobro coativo fechados de 2024</t>
  </si>
  <si>
    <t>Causa raiz del riesgo inconclusa, no define el alcance.  No obstante, se encontraron múltiples documentos que dan cuenta de la gestión de cobro de las acreencias de la entidad.
Fecha de implementación del plan incoherente, debe ser posterior a las fechas de seguimiento.</t>
  </si>
  <si>
    <t>SEGUIMIENTO SEGUNDO CUATRIMESTRE 2024 
- OFICINA DE CONTROL INTERNO</t>
  </si>
  <si>
    <t>Se reitera: La causa inmediata y la raiz establecida para el riesgo señala que en la suscripción del contrato de seguros no se incluyan los amparos a los bienes de la entidad, no obstante, el plan de acción se enfoca en informes de elementos ingresados y novedades al supervisor del contrato.  No existe coherencia; es decir, las acciones propuestas no atacan las causas que generan la posibilidad de materialización del riesgo.  Se trata de un contrato con amparo a los bienes, no de informes de elementos de bienes. No obstante se cumple la acción propuesta, el riesgo no se ataca.  No existe coherencia entre la idenfificación, el análisis, la evaluación y el tratamiento del riesgo, por lo cual, el control resulta ineficiente frente a la causa señalada.  Se requiere reformular el control, a fin que se atienda la causa inmediata y la raiz establecida.
Fecha de implementación del plan incoherente, debe ser posterior a las fechas de seguimiento.
Se requiere actualizar la (s) fechas de seguimiento, dado que, una fecha de 2024-12-31 establece seguimiento para el tercer cuatrimestre, lo que, riñe con el plan de acción propuesto, con la evaluación del riesgo y el control mismo establecido.  En adición, se realiza seguimiento en el segundo cuatrimestre, dado que fueron reportadas evidencias.
No se tienen en cuenta las observaciones presentadas por la oficina de control interno.</t>
  </si>
  <si>
    <t>Se encontró una circular solicitando a quienes realizan comisiones remitir los documentos requeridos para legalizar los gastos de la comisión.
Fecha de implementación del plan incoherente, debe ser posterior a las fechas de seguimiento.</t>
  </si>
  <si>
    <t>No se genera reporte al contrato de seguros ya que, al corte del segundo cuatrimestre, no se evidencian ingreso o modificaciones a los activos fijos del Área Metropolitana de Bucaramanga
EVIDENCIA 1</t>
  </si>
  <si>
    <t>SE REALIZO CIRCULAR 16 DE VIGENCIA 2024  Y SE SUBIO AL BPM  PARA CONOCIMIENTO A TODOS LOS FUNCIONARIOS DE LA ENTIDAD SE ADJUNTA CIRCULAR 
EVIDENCIA 2</t>
  </si>
  <si>
    <t xml:space="preserve">SE ENVIA CORREO AL DR DIEGO AVILA SOLICITANDO ACTUALIZACION DE PASIVOS CONTINGENTES EN MARZO 30 DE 2024 Y AGOSTO 13 DE 2024 SIN RECIBIR RESPUESTA  DE LOS MISMOS. ADJUNTO EVIDENCIA </t>
  </si>
  <si>
    <t>SE ENVIA CORREO AL DR DIEGO AVILA SOLICITANDO ACTUALIZACION DE PASIVOS CONTINGENTES EN MARZO 30 DE 2024 Y AGOSTO 13 DE 2024 SIN RECIBIR RESPUESTA  DE LOS MISMOS. ADJUNTO EVIDENCIA 
EVIDENCIA 4</t>
  </si>
  <si>
    <t>ANEXOS COATIVO ACTUACIONES REALZADAS
1 - 2- 3 - 4 - 5 - 6 - 7 - 8 - 9 - 10 - 11 - 12 - 13 - 14 - 15 - 16 - 17 - 18 - 19 - 20 - 21 - 22 - 23 - 24 y  25.
EVIDENCIA 5 COACTIVO
PRESUASIVO   EVIDENCIA 5
El profesional universitario de Cobro Persuasivo presenta certificación en la que detalla las actuaciones realizadas en los procesos para lograr el recaudo en el 2do cuatrimestre de 2024.  se adjunta evidencia No. 5</t>
  </si>
  <si>
    <t>Informe de entradas de activos y elementos de consumo al Almacén. (con fecha fuera de corte)</t>
  </si>
  <si>
    <t>Circular SAF del 27 de agosto de 2024.</t>
  </si>
  <si>
    <t>Reiterado: Fecha de seguimiento para el cuarto trimestre, no obstante, se reprocha que la Subdirección Administrativa y Financiera deba esperar hasta el 31 de diciembre de 2024, es decir, hasta el último día de la vigencia para enviar una circular.  Resulta inoficioso e inoperante el plazo señalado.  Si bien, los dueños de proceso son quienes establecen sus programaciones, tales fechas deben enmarcarse dentro del principio de RAZONABILIDAD. Carece de utilidad una circular enviada el último día de la vigencia.  Se requiere ajustar.
Fecha de implementación del plan incoherente, debe ser posterior a las fechas de seguimiento.
No se tienen en cuenta las observaciones presentadas por la oficina de control interno.</t>
  </si>
  <si>
    <t>Correo electrónico del 13 de agosto de 2024.</t>
  </si>
  <si>
    <t>Cumple.
Reiterado: Causa raiz del riesgo inconclusa, no define el alcance.</t>
  </si>
  <si>
    <t>Múltiples documentos propios de la gestión del cobro coativo y persuasivo fechados de 2024 y correspondientes al corte.</t>
  </si>
  <si>
    <t>Cumple.
Reiterado: Causa raiz del riesgo inconclusa, no define el alcance.  
Fecha de implementación del plan incoherente, debe ser posterior a las fechas de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</si>
</sst>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name val="Arial"/>
      <family val="2"/>
    </font>
    <font>
      <sz val="11"/>
      <name val="Arial"/>
      <family val="2"/>
    </font>
    <font>
      <b/>
      <sz val="14"/>
      <color theme="1"/>
      <name val="Arial Narrow"/>
      <family val="2"/>
    </font>
    <font>
      <sz val="11"/>
      <color rgb="FFFF0000"/>
      <name val="Arial Narrow"/>
      <family val="2"/>
    </font>
    <font>
      <strike/>
      <sz val="11"/>
      <color theme="1"/>
      <name val="Arial Narrow"/>
      <family val="2"/>
    </font>
    <font>
      <b/>
      <strike/>
      <sz val="11"/>
      <color theme="1"/>
      <name val="Arial Narrow"/>
      <family val="2"/>
    </font>
    <font>
      <strike/>
      <sz val="11"/>
      <color rgb="FFFF0000"/>
      <name val="Arial Narrow"/>
      <family val="2"/>
    </font>
    <font>
      <b/>
      <strike/>
      <sz val="11"/>
      <color rgb="FFFF0000"/>
      <name val="Arial Narrow"/>
      <family val="2"/>
    </font>
    <font>
      <strike/>
      <sz val="11"/>
      <name val="Arial Narrow"/>
      <family val="2"/>
    </font>
    <font>
      <sz val="14"/>
      <name val="Arial Narrow"/>
      <family val="2"/>
    </font>
    <font>
      <strike/>
      <sz val="14"/>
      <color rgb="FFFF0000"/>
      <name val="Arial Narrow"/>
      <family val="2"/>
    </font>
    <font>
      <sz val="14"/>
      <color theme="0"/>
      <name val="Arial Narrow"/>
      <family val="2"/>
    </font>
    <font>
      <strike/>
      <sz val="14"/>
      <color theme="1"/>
      <name val="Arial Narrow"/>
      <family val="2"/>
    </font>
    <font>
      <b/>
      <sz val="16"/>
      <color theme="1"/>
      <name val="Arial Narrow"/>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bgColor indexed="64"/>
      </patternFill>
    </fill>
    <fill>
      <patternFill patternType="solid">
        <fgColor theme="0" tint="-4.9989318521683403E-2"/>
        <bgColor indexed="64"/>
      </patternFill>
    </fill>
  </fills>
  <borders count="8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bottom/>
      <diagonal/>
    </border>
    <border>
      <left style="thin">
        <color indexed="64"/>
      </left>
      <right style="thin">
        <color indexed="64"/>
      </right>
      <top style="thin">
        <color indexed="64"/>
      </top>
      <bottom/>
      <diagonal/>
    </border>
    <border>
      <left style="thin">
        <color indexed="64"/>
      </left>
      <right style="dashed">
        <color theme="9" tint="-0.24994659260841701"/>
      </right>
      <top style="dashed">
        <color theme="9"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9" tint="-0.24994659260841701"/>
      </left>
      <right style="dashed">
        <color theme="9" tint="-0.24994659260841701"/>
      </right>
      <top style="dashed">
        <color theme="9" tint="-0.24994659260841701"/>
      </top>
      <bottom style="dashed">
        <color theme="9" tint="-0.24994659260841701"/>
      </bottom>
      <diagonal/>
    </border>
    <border>
      <left style="thick">
        <color theme="9" tint="-0.24994659260841701"/>
      </left>
      <right/>
      <top style="dashed">
        <color theme="9" tint="-0.24994659260841701"/>
      </top>
      <bottom style="dashed">
        <color theme="9" tint="-0.24994659260841701"/>
      </bottom>
      <diagonal/>
    </border>
  </borders>
  <cellStyleXfs count="5">
    <xf numFmtId="0" fontId="0" fillId="0" borderId="0"/>
    <xf numFmtId="9" fontId="15" fillId="0" borderId="0" applyFont="0" applyFill="0" applyBorder="0" applyAlignment="0" applyProtection="0"/>
    <xf numFmtId="0" fontId="47" fillId="0" borderId="0"/>
    <xf numFmtId="0" fontId="48" fillId="0" borderId="0"/>
    <xf numFmtId="0" fontId="5" fillId="0" borderId="0"/>
  </cellStyleXfs>
  <cellXfs count="54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49" fillId="3" borderId="49" xfId="2" applyFont="1" applyFill="1" applyBorder="1"/>
    <xf numFmtId="0" fontId="49" fillId="3" borderId="50" xfId="2" applyFont="1" applyFill="1" applyBorder="1"/>
    <xf numFmtId="0" fontId="49" fillId="3" borderId="51" xfId="2" applyFont="1" applyFill="1" applyBorder="1"/>
    <xf numFmtId="0" fontId="17" fillId="3" borderId="0" xfId="0" applyFont="1" applyFill="1" applyAlignment="1">
      <alignment vertical="center"/>
    </xf>
    <xf numFmtId="0" fontId="5" fillId="3" borderId="0" xfId="0" applyFont="1" applyFill="1"/>
    <xf numFmtId="0" fontId="36" fillId="3" borderId="0" xfId="0" applyFont="1" applyFill="1"/>
    <xf numFmtId="0" fontId="37" fillId="3" borderId="32" xfId="0" applyFont="1" applyFill="1" applyBorder="1" applyAlignment="1">
      <alignment horizontal="center" vertical="center" wrapText="1" readingOrder="1"/>
    </xf>
    <xf numFmtId="0" fontId="38" fillId="3" borderId="32" xfId="0" applyFont="1" applyFill="1" applyBorder="1" applyAlignment="1">
      <alignment horizontal="justify" vertical="center" wrapText="1" readingOrder="1"/>
    </xf>
    <xf numFmtId="9" fontId="37" fillId="3" borderId="41" xfId="0" applyNumberFormat="1"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8" fillId="3" borderId="31" xfId="0" applyFont="1" applyFill="1" applyBorder="1" applyAlignment="1">
      <alignment horizontal="justify" vertical="center" wrapText="1" readingOrder="1"/>
    </xf>
    <xf numFmtId="9" fontId="37" fillId="3" borderId="36" xfId="0" applyNumberFormat="1"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xf numFmtId="0" fontId="38" fillId="3" borderId="38" xfId="0" applyFont="1" applyFill="1" applyBorder="1" applyAlignment="1">
      <alignment horizontal="justify" vertical="center" wrapText="1" readingOrder="1"/>
    </xf>
    <xf numFmtId="0" fontId="38" fillId="3" borderId="39" xfId="0" applyFont="1" applyFill="1" applyBorder="1" applyAlignment="1">
      <alignment horizontal="center" vertical="center" wrapText="1" readingOrder="1"/>
    </xf>
    <xf numFmtId="0" fontId="46" fillId="3" borderId="0" xfId="0" applyFont="1" applyFill="1"/>
    <xf numFmtId="0" fontId="37" fillId="15" borderId="43" xfId="0" applyFont="1" applyFill="1" applyBorder="1" applyAlignment="1">
      <alignment horizontal="center" vertical="center" wrapText="1" readingOrder="1"/>
    </xf>
    <xf numFmtId="0" fontId="37" fillId="15" borderId="44"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9" fillId="3" borderId="14"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4"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164" fontId="1" fillId="0" borderId="2" xfId="1" applyNumberFormat="1" applyFont="1" applyFill="1" applyBorder="1" applyAlignment="1">
      <alignment horizontal="center" vertical="center"/>
    </xf>
    <xf numFmtId="14" fontId="1" fillId="0" borderId="2"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top" wrapText="1"/>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9" xfId="0" applyNumberFormat="1" applyFont="1" applyBorder="1" applyAlignment="1" applyProtection="1">
      <alignment horizontal="center" vertical="top" wrapText="1"/>
      <protection hidden="1"/>
    </xf>
    <xf numFmtId="9" fontId="1" fillId="0" borderId="3" xfId="0" applyNumberFormat="1" applyFont="1" applyBorder="1" applyAlignment="1" applyProtection="1">
      <alignment horizontal="center" vertical="top" wrapText="1"/>
      <protection hidden="1"/>
    </xf>
    <xf numFmtId="9" fontId="1" fillId="0" borderId="73" xfId="0" applyNumberFormat="1" applyFont="1" applyBorder="1" applyAlignment="1" applyProtection="1">
      <alignment horizontal="center" vertical="top" wrapText="1"/>
      <protection hidden="1"/>
    </xf>
    <xf numFmtId="9" fontId="1" fillId="0" borderId="30" xfId="0" applyNumberFormat="1" applyFont="1" applyBorder="1" applyAlignment="1" applyProtection="1">
      <alignment horizontal="center" vertical="top" wrapText="1"/>
      <protection hidden="1"/>
    </xf>
    <xf numFmtId="0" fontId="4" fillId="0" borderId="31" xfId="0" applyFont="1" applyBorder="1" applyAlignment="1" applyProtection="1">
      <alignment horizontal="center" vertical="top"/>
      <protection hidden="1"/>
    </xf>
    <xf numFmtId="9" fontId="1" fillId="0" borderId="28" xfId="0" applyNumberFormat="1" applyFont="1" applyBorder="1" applyAlignment="1" applyProtection="1">
      <alignment horizontal="center" vertical="top" wrapText="1"/>
      <protection hidden="1"/>
    </xf>
    <xf numFmtId="0" fontId="1" fillId="0" borderId="2" xfId="0" applyFont="1" applyBorder="1" applyAlignment="1" applyProtection="1">
      <alignment horizontal="left" vertical="top" wrapText="1"/>
      <protection locked="0"/>
    </xf>
    <xf numFmtId="14" fontId="1" fillId="0" borderId="2"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xf>
    <xf numFmtId="0" fontId="62" fillId="0" borderId="2" xfId="0" applyFont="1" applyBorder="1" applyAlignment="1">
      <alignment horizontal="center" vertical="center"/>
    </xf>
    <xf numFmtId="0" fontId="62" fillId="3" borderId="0" xfId="0" applyFont="1" applyFill="1"/>
    <xf numFmtId="0" fontId="62" fillId="0" borderId="0" xfId="0" applyFont="1"/>
    <xf numFmtId="0" fontId="63" fillId="0" borderId="2" xfId="0" applyFont="1" applyBorder="1" applyAlignment="1">
      <alignment horizontal="center" vertical="center"/>
    </xf>
    <xf numFmtId="0" fontId="63" fillId="0" borderId="2" xfId="0" applyFont="1" applyBorder="1" applyAlignment="1" applyProtection="1">
      <alignment horizontal="center" vertical="center"/>
      <protection hidden="1"/>
    </xf>
    <xf numFmtId="0" fontId="63" fillId="0" borderId="2" xfId="0" applyFont="1" applyBorder="1" applyAlignment="1" applyProtection="1">
      <alignment horizontal="center" vertical="center" textRotation="90"/>
      <protection locked="0"/>
    </xf>
    <xf numFmtId="9" fontId="63" fillId="0" borderId="2" xfId="0" applyNumberFormat="1" applyFont="1" applyBorder="1" applyAlignment="1" applyProtection="1">
      <alignment horizontal="center" vertical="center"/>
      <protection hidden="1"/>
    </xf>
    <xf numFmtId="164" fontId="63" fillId="0" borderId="2" xfId="1" applyNumberFormat="1" applyFont="1" applyBorder="1" applyAlignment="1">
      <alignment horizontal="center" vertical="center"/>
    </xf>
    <xf numFmtId="0" fontId="64" fillId="0" borderId="2" xfId="0" applyFont="1" applyBorder="1" applyAlignment="1" applyProtection="1">
      <alignment horizontal="center" vertical="center" textRotation="90" wrapText="1"/>
      <protection hidden="1"/>
    </xf>
    <xf numFmtId="9" fontId="63" fillId="0" borderId="4" xfId="0" applyNumberFormat="1" applyFont="1" applyBorder="1" applyAlignment="1" applyProtection="1">
      <alignment horizontal="center" vertical="center"/>
      <protection hidden="1"/>
    </xf>
    <xf numFmtId="0" fontId="64" fillId="0" borderId="2" xfId="0" applyFont="1" applyBorder="1" applyAlignment="1" applyProtection="1">
      <alignment horizontal="center" vertical="center" textRotation="90"/>
      <protection hidden="1"/>
    </xf>
    <xf numFmtId="0" fontId="63" fillId="0" borderId="2" xfId="0" applyFont="1" applyBorder="1" applyAlignment="1" applyProtection="1">
      <alignment horizontal="left" vertical="top" wrapText="1"/>
      <protection locked="0"/>
    </xf>
    <xf numFmtId="0" fontId="63" fillId="0" borderId="2" xfId="0" applyFont="1" applyBorder="1" applyAlignment="1" applyProtection="1">
      <alignment horizontal="center" vertical="center"/>
      <protection locked="0"/>
    </xf>
    <xf numFmtId="0" fontId="63" fillId="3" borderId="0" xfId="0" applyFont="1" applyFill="1"/>
    <xf numFmtId="0" fontId="63" fillId="0" borderId="0" xfId="0" applyFont="1"/>
    <xf numFmtId="0" fontId="65" fillId="0" borderId="2" xfId="0" applyFont="1" applyBorder="1" applyAlignment="1">
      <alignment horizontal="center" vertical="center"/>
    </xf>
    <xf numFmtId="0" fontId="65" fillId="0" borderId="2" xfId="0" applyFont="1" applyBorder="1" applyAlignment="1" applyProtection="1">
      <alignment horizontal="center" vertical="center"/>
      <protection hidden="1"/>
    </xf>
    <xf numFmtId="0" fontId="65" fillId="0" borderId="2" xfId="0" applyFont="1" applyBorder="1" applyAlignment="1" applyProtection="1">
      <alignment horizontal="center" vertical="center" textRotation="90"/>
      <protection locked="0"/>
    </xf>
    <xf numFmtId="9" fontId="65" fillId="0" borderId="2" xfId="0" applyNumberFormat="1" applyFont="1" applyBorder="1" applyAlignment="1" applyProtection="1">
      <alignment horizontal="center" vertical="center"/>
      <protection hidden="1"/>
    </xf>
    <xf numFmtId="164" fontId="65" fillId="0" borderId="2" xfId="1" applyNumberFormat="1" applyFont="1" applyBorder="1" applyAlignment="1">
      <alignment horizontal="center" vertical="center"/>
    </xf>
    <xf numFmtId="0" fontId="66" fillId="0" borderId="2" xfId="0" applyFont="1" applyBorder="1" applyAlignment="1" applyProtection="1">
      <alignment horizontal="center" vertical="center" textRotation="90" wrapText="1"/>
      <protection hidden="1"/>
    </xf>
    <xf numFmtId="9" fontId="65" fillId="0" borderId="4" xfId="0" applyNumberFormat="1" applyFont="1" applyBorder="1" applyAlignment="1" applyProtection="1">
      <alignment horizontal="center" vertical="center"/>
      <protection hidden="1"/>
    </xf>
    <xf numFmtId="0" fontId="66" fillId="0" borderId="2" xfId="0" applyFont="1" applyBorder="1" applyAlignment="1" applyProtection="1">
      <alignment horizontal="center" vertical="center" textRotation="90"/>
      <protection hidden="1"/>
    </xf>
    <xf numFmtId="0" fontId="65" fillId="0" borderId="4" xfId="0" applyFont="1" applyBorder="1" applyAlignment="1" applyProtection="1">
      <alignment horizontal="center" vertical="center" textRotation="90"/>
      <protection locked="0"/>
    </xf>
    <xf numFmtId="14" fontId="65" fillId="0" borderId="2" xfId="0" applyNumberFormat="1" applyFont="1" applyBorder="1" applyAlignment="1" applyProtection="1">
      <alignment horizontal="center" vertical="top" wrapText="1"/>
      <protection locked="0"/>
    </xf>
    <xf numFmtId="0" fontId="65" fillId="0" borderId="2" xfId="0" applyFont="1" applyBorder="1" applyAlignment="1" applyProtection="1">
      <alignment horizontal="left" vertical="top" wrapText="1"/>
      <protection locked="0"/>
    </xf>
    <xf numFmtId="0" fontId="65" fillId="0" borderId="2" xfId="0" applyFont="1" applyBorder="1" applyAlignment="1" applyProtection="1">
      <alignment horizontal="center" vertical="center"/>
      <protection locked="0"/>
    </xf>
    <xf numFmtId="0" fontId="65" fillId="3" borderId="0" xfId="0" applyFont="1" applyFill="1"/>
    <xf numFmtId="0" fontId="65" fillId="0" borderId="0" xfId="0" applyFont="1"/>
    <xf numFmtId="0" fontId="63" fillId="0" borderId="4" xfId="0" applyFont="1" applyBorder="1" applyAlignment="1" applyProtection="1">
      <alignment horizontal="center" vertical="top" textRotation="90"/>
      <protection locked="0"/>
    </xf>
    <xf numFmtId="0" fontId="61"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left" vertical="top" wrapText="1"/>
      <protection locked="0"/>
    </xf>
    <xf numFmtId="0" fontId="61" fillId="0" borderId="2" xfId="0" applyFont="1" applyFill="1" applyBorder="1" applyAlignment="1" applyProtection="1">
      <alignment horizontal="center" vertical="top" wrapText="1"/>
      <protection locked="0"/>
    </xf>
    <xf numFmtId="0" fontId="1" fillId="0" borderId="2" xfId="0" applyFont="1" applyFill="1" applyBorder="1" applyAlignment="1" applyProtection="1">
      <alignment horizontal="center" vertical="top" wrapText="1"/>
      <protection locked="0"/>
    </xf>
    <xf numFmtId="0" fontId="1" fillId="0" borderId="2" xfId="0" applyFont="1" applyFill="1" applyBorder="1" applyAlignment="1" applyProtection="1">
      <alignment horizontal="left" vertical="top"/>
      <protection locked="0"/>
    </xf>
    <xf numFmtId="0" fontId="65" fillId="0" borderId="2" xfId="0" applyFont="1" applyFill="1" applyBorder="1" applyAlignment="1" applyProtection="1">
      <alignment horizontal="left" vertical="top" wrapText="1"/>
      <protection locked="0"/>
    </xf>
    <xf numFmtId="0" fontId="1" fillId="0" borderId="2" xfId="0" applyFont="1" applyFill="1" applyBorder="1" applyAlignment="1" applyProtection="1">
      <alignment horizontal="center" vertical="top"/>
      <protection locked="0"/>
    </xf>
    <xf numFmtId="0" fontId="2" fillId="0" borderId="2" xfId="0" applyFont="1" applyFill="1" applyBorder="1" applyAlignment="1" applyProtection="1">
      <alignment horizontal="center" vertical="center" wrapText="1"/>
      <protection locked="0"/>
    </xf>
    <xf numFmtId="14" fontId="2" fillId="0" borderId="2" xfId="0" applyNumberFormat="1" applyFont="1" applyBorder="1" applyAlignment="1" applyProtection="1">
      <alignment horizontal="center" vertical="top" wrapText="1"/>
      <protection locked="0"/>
    </xf>
    <xf numFmtId="0" fontId="8" fillId="0" borderId="4" xfId="0" applyFont="1" applyBorder="1" applyAlignment="1" applyProtection="1">
      <alignment horizontal="center" vertical="center" wrapText="1"/>
      <protection locked="0"/>
    </xf>
    <xf numFmtId="0" fontId="8"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wrapText="1"/>
      <protection locked="0"/>
    </xf>
    <xf numFmtId="0" fontId="69"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top" wrapText="1"/>
      <protection locked="0"/>
    </xf>
    <xf numFmtId="0" fontId="68"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protection locked="0"/>
    </xf>
    <xf numFmtId="0" fontId="69" fillId="0" borderId="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69" fillId="0" borderId="4" xfId="0" applyFont="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68" fillId="0" borderId="4" xfId="0" applyFont="1" applyFill="1" applyBorder="1" applyAlignment="1" applyProtection="1">
      <alignment horizontal="center" vertical="center" wrapText="1"/>
      <protection locked="0"/>
    </xf>
    <xf numFmtId="0" fontId="68" fillId="0" borderId="8" xfId="0" applyFont="1" applyFill="1" applyBorder="1" applyAlignment="1" applyProtection="1">
      <alignment horizontal="center" vertical="center" wrapText="1"/>
      <protection locked="0"/>
    </xf>
    <xf numFmtId="0" fontId="68" fillId="0" borderId="5"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top" wrapText="1"/>
      <protection locked="0"/>
    </xf>
    <xf numFmtId="0" fontId="1"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top" wrapText="1"/>
      <protection locked="0"/>
    </xf>
    <xf numFmtId="0" fontId="1" fillId="0" borderId="5"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69" fillId="0" borderId="4" xfId="0" applyFont="1" applyBorder="1" applyAlignment="1" applyProtection="1">
      <alignment horizontal="center" vertical="center" wrapText="1"/>
      <protection locked="0"/>
    </xf>
    <xf numFmtId="0" fontId="1" fillId="17" borderId="2" xfId="0" applyFont="1" applyFill="1" applyBorder="1" applyAlignment="1">
      <alignment horizontal="justify" vertical="center" wrapText="1"/>
    </xf>
    <xf numFmtId="9" fontId="1" fillId="17" borderId="2" xfId="1" applyFont="1" applyFill="1" applyBorder="1" applyAlignment="1">
      <alignment horizontal="center" vertical="center" wrapText="1"/>
    </xf>
    <xf numFmtId="0" fontId="2" fillId="0" borderId="2" xfId="0" applyFont="1" applyBorder="1" applyAlignment="1" applyProtection="1">
      <alignment horizontal="left" vertical="top" wrapText="1"/>
      <protection locked="0"/>
    </xf>
    <xf numFmtId="0" fontId="1" fillId="17" borderId="2" xfId="0" applyFont="1" applyFill="1" applyBorder="1" applyAlignment="1">
      <alignment horizontal="center" vertical="center" wrapText="1"/>
    </xf>
    <xf numFmtId="4" fontId="1" fillId="17" borderId="2" xfId="0" applyNumberFormat="1" applyFont="1" applyFill="1" applyBorder="1" applyAlignment="1">
      <alignment horizontal="justify" vertical="center" wrapText="1"/>
    </xf>
    <xf numFmtId="4" fontId="1" fillId="17" borderId="2" xfId="0" applyNumberFormat="1" applyFont="1" applyFill="1" applyBorder="1" applyAlignment="1">
      <alignment horizontal="center" vertical="center" wrapText="1"/>
    </xf>
    <xf numFmtId="0" fontId="1" fillId="17" borderId="6" xfId="0" applyFont="1" applyFill="1" applyBorder="1" applyAlignment="1">
      <alignment horizontal="justify" vertical="center" wrapText="1"/>
    </xf>
    <xf numFmtId="4" fontId="1" fillId="17" borderId="79" xfId="1" applyNumberFormat="1" applyFont="1" applyFill="1" applyBorder="1" applyAlignment="1">
      <alignment horizontal="center" vertical="center" wrapText="1"/>
    </xf>
    <xf numFmtId="4" fontId="1" fillId="17" borderId="79" xfId="0" applyNumberFormat="1" applyFont="1" applyFill="1" applyBorder="1" applyAlignment="1">
      <alignment horizontal="justify" vertical="center" wrapText="1"/>
    </xf>
    <xf numFmtId="0" fontId="50" fillId="14" borderId="46" xfId="2" applyFont="1" applyFill="1" applyBorder="1" applyAlignment="1">
      <alignment horizontal="center" vertical="center" wrapText="1"/>
    </xf>
    <xf numFmtId="0" fontId="50" fillId="14" borderId="47" xfId="2" applyFont="1" applyFill="1" applyBorder="1" applyAlignment="1">
      <alignment horizontal="center" vertical="center" wrapText="1"/>
    </xf>
    <xf numFmtId="0" fontId="50" fillId="14" borderId="48"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6" xfId="2" quotePrefix="1" applyFont="1" applyBorder="1" applyAlignment="1">
      <alignment horizontal="left" vertical="center" wrapText="1"/>
    </xf>
    <xf numFmtId="0" fontId="49" fillId="0" borderId="67" xfId="2" quotePrefix="1" applyFont="1" applyBorder="1" applyAlignment="1">
      <alignment horizontal="left" vertical="center" wrapText="1"/>
    </xf>
    <xf numFmtId="0" fontId="49" fillId="0" borderId="68" xfId="2" quotePrefix="1" applyFont="1" applyBorder="1" applyAlignment="1">
      <alignment horizontal="left" vertical="center" wrapText="1"/>
    </xf>
    <xf numFmtId="0" fontId="51" fillId="3" borderId="49" xfId="2" quotePrefix="1" applyFont="1" applyFill="1" applyBorder="1" applyAlignment="1">
      <alignment horizontal="left" vertical="top" wrapText="1"/>
    </xf>
    <xf numFmtId="0" fontId="52" fillId="3" borderId="50" xfId="2" quotePrefix="1" applyFont="1" applyFill="1" applyBorder="1" applyAlignment="1">
      <alignment horizontal="left" vertical="top" wrapText="1"/>
    </xf>
    <xf numFmtId="0" fontId="52" fillId="3" borderId="51"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4" fillId="14" borderId="52" xfId="3" applyFont="1" applyFill="1" applyBorder="1" applyAlignment="1">
      <alignment horizontal="center" vertical="center" wrapText="1"/>
    </xf>
    <xf numFmtId="0" fontId="54" fillId="14" borderId="53" xfId="3" applyFont="1" applyFill="1" applyBorder="1" applyAlignment="1">
      <alignment horizontal="center" vertical="center" wrapText="1"/>
    </xf>
    <xf numFmtId="0" fontId="54" fillId="14" borderId="54" xfId="2" applyFont="1" applyFill="1" applyBorder="1" applyAlignment="1">
      <alignment horizontal="center" vertical="center"/>
    </xf>
    <xf numFmtId="0" fontId="54" fillId="14" borderId="55" xfId="2" applyFont="1" applyFill="1" applyBorder="1" applyAlignment="1">
      <alignment horizontal="center" vertical="center"/>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54" fillId="3" borderId="56" xfId="3" applyFont="1" applyFill="1" applyBorder="1" applyAlignment="1">
      <alignment horizontal="left" vertical="top" wrapText="1" readingOrder="1"/>
    </xf>
    <xf numFmtId="0" fontId="54" fillId="3" borderId="57" xfId="3" applyFont="1" applyFill="1" applyBorder="1" applyAlignment="1">
      <alignment horizontal="left" vertical="top" wrapText="1" readingOrder="1"/>
    </xf>
    <xf numFmtId="0" fontId="55" fillId="3" borderId="58" xfId="2" applyFont="1" applyFill="1" applyBorder="1" applyAlignment="1">
      <alignment horizontal="justify" vertical="center" wrapText="1"/>
    </xf>
    <xf numFmtId="0" fontId="55" fillId="3" borderId="59" xfId="2" applyFont="1" applyFill="1" applyBorder="1" applyAlignment="1">
      <alignment horizontal="justify" vertical="center" wrapText="1"/>
    </xf>
    <xf numFmtId="0" fontId="54" fillId="3" borderId="60" xfId="0" applyFont="1" applyFill="1" applyBorder="1" applyAlignment="1">
      <alignment horizontal="left" vertical="center" wrapText="1"/>
    </xf>
    <xf numFmtId="0" fontId="54" fillId="3" borderId="61" xfId="0" applyFont="1" applyFill="1" applyBorder="1" applyAlignment="1">
      <alignment horizontal="left" vertical="center" wrapText="1"/>
    </xf>
    <xf numFmtId="0" fontId="55" fillId="3" borderId="62" xfId="2" applyFont="1" applyFill="1" applyBorder="1" applyAlignment="1">
      <alignment horizontal="justify" vertical="center" wrapText="1"/>
    </xf>
    <xf numFmtId="0" fontId="55" fillId="3" borderId="63" xfId="2" applyFont="1" applyFill="1" applyBorder="1" applyAlignment="1">
      <alignment horizontal="justify"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4" fillId="3" borderId="69" xfId="0" applyFont="1" applyFill="1" applyBorder="1" applyAlignment="1">
      <alignment horizontal="left" vertical="center" wrapText="1"/>
    </xf>
    <xf numFmtId="0" fontId="54" fillId="3" borderId="70" xfId="0" applyFont="1" applyFill="1" applyBorder="1" applyAlignment="1">
      <alignment horizontal="left" vertical="center" wrapText="1"/>
    </xf>
    <xf numFmtId="0" fontId="54" fillId="3" borderId="71" xfId="0" applyFont="1" applyFill="1" applyBorder="1" applyAlignment="1">
      <alignment horizontal="left" vertical="center" wrapText="1"/>
    </xf>
    <xf numFmtId="0" fontId="54" fillId="3" borderId="72" xfId="0" applyFont="1" applyFill="1" applyBorder="1" applyAlignment="1">
      <alignment horizontal="left" vertical="center" wrapText="1"/>
    </xf>
    <xf numFmtId="0" fontId="55" fillId="3" borderId="64" xfId="0" applyFont="1" applyFill="1" applyBorder="1" applyAlignment="1">
      <alignment horizontal="justify" vertical="center" wrapText="1"/>
    </xf>
    <xf numFmtId="0" fontId="55" fillId="3" borderId="65" xfId="0" applyFont="1" applyFill="1" applyBorder="1" applyAlignment="1">
      <alignment horizontal="justify" vertical="center" wrapText="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16" borderId="5"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9" xfId="0" applyFont="1" applyFill="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61" fillId="2" borderId="4" xfId="0" applyFont="1" applyFill="1" applyBorder="1" applyAlignment="1">
      <alignment horizontal="center" vertical="center" textRotation="90"/>
    </xf>
    <xf numFmtId="0" fontId="61" fillId="2" borderId="5" xfId="0" applyFont="1" applyFill="1" applyBorder="1" applyAlignment="1">
      <alignment horizontal="center" vertical="center" textRotation="90"/>
    </xf>
    <xf numFmtId="0" fontId="4" fillId="16" borderId="4" xfId="0" applyFont="1" applyFill="1" applyBorder="1" applyAlignment="1">
      <alignment horizontal="center" vertical="center" wrapText="1"/>
    </xf>
    <xf numFmtId="0" fontId="4" fillId="16" borderId="5" xfId="0" applyFont="1" applyFill="1" applyBorder="1" applyAlignment="1">
      <alignment horizontal="center" vertical="center"/>
    </xf>
    <xf numFmtId="0" fontId="4" fillId="16" borderId="2"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68" fillId="0" borderId="4" xfId="0" applyFont="1" applyBorder="1" applyAlignment="1" applyProtection="1">
      <alignment horizontal="center" vertical="center" wrapText="1"/>
      <protection locked="0"/>
    </xf>
    <xf numFmtId="0" fontId="68" fillId="0" borderId="8" xfId="0" applyFont="1" applyBorder="1" applyAlignment="1" applyProtection="1">
      <alignment horizontal="center" vertical="center" wrapText="1"/>
      <protection locked="0"/>
    </xf>
    <xf numFmtId="0" fontId="68" fillId="0" borderId="5" xfId="0" applyFont="1" applyBorder="1" applyAlignment="1" applyProtection="1">
      <alignment horizontal="center" vertical="center" wrapText="1"/>
      <protection locked="0"/>
    </xf>
    <xf numFmtId="0" fontId="69" fillId="0" borderId="4" xfId="0" applyFont="1" applyBorder="1" applyAlignment="1" applyProtection="1">
      <alignment horizontal="center" vertical="center" wrapText="1"/>
      <protection locked="0"/>
    </xf>
    <xf numFmtId="0" fontId="69" fillId="0" borderId="8" xfId="0" applyFont="1" applyBorder="1" applyAlignment="1" applyProtection="1">
      <alignment horizontal="center" vertical="center" wrapText="1"/>
      <protection locked="0"/>
    </xf>
    <xf numFmtId="0" fontId="69" fillId="0" borderId="5" xfId="0" applyFont="1" applyBorder="1" applyAlignment="1" applyProtection="1">
      <alignment horizontal="center" vertical="center" wrapText="1"/>
      <protection locked="0"/>
    </xf>
    <xf numFmtId="0" fontId="70" fillId="0" borderId="8" xfId="0" applyFont="1" applyBorder="1" applyAlignment="1" applyProtection="1">
      <alignment horizontal="center" vertical="center" wrapText="1"/>
      <protection locked="0"/>
    </xf>
    <xf numFmtId="0" fontId="70" fillId="0" borderId="5" xfId="0" applyFont="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68" fillId="0" borderId="4" xfId="0" applyFont="1" applyFill="1" applyBorder="1" applyAlignment="1" applyProtection="1">
      <alignment horizontal="center" vertical="center" wrapText="1"/>
      <protection locked="0"/>
    </xf>
    <xf numFmtId="0" fontId="68" fillId="0" borderId="8" xfId="0" applyFont="1" applyFill="1" applyBorder="1" applyAlignment="1" applyProtection="1">
      <alignment horizontal="center" vertical="center" wrapText="1"/>
      <protection locked="0"/>
    </xf>
    <xf numFmtId="0" fontId="68" fillId="0" borderId="5" xfId="0" applyFont="1" applyFill="1" applyBorder="1" applyAlignment="1" applyProtection="1">
      <alignment horizontal="center" vertical="center" wrapText="1"/>
      <protection locked="0"/>
    </xf>
    <xf numFmtId="0" fontId="71" fillId="0" borderId="4" xfId="0" applyFont="1" applyBorder="1" applyAlignment="1" applyProtection="1">
      <alignment horizontal="center" vertical="center" wrapText="1"/>
      <protection locked="0"/>
    </xf>
    <xf numFmtId="0" fontId="71" fillId="0" borderId="8" xfId="0" applyFont="1" applyBorder="1" applyAlignment="1" applyProtection="1">
      <alignment horizontal="center" vertical="center" wrapText="1"/>
      <protection locked="0"/>
    </xf>
    <xf numFmtId="0" fontId="71" fillId="0" borderId="5" xfId="0" applyFont="1" applyBorder="1" applyAlignment="1" applyProtection="1">
      <alignment horizontal="center" vertical="center" wrapText="1"/>
      <protection locked="0"/>
    </xf>
    <xf numFmtId="0" fontId="63" fillId="0" borderId="4" xfId="0" applyFont="1" applyBorder="1" applyAlignment="1" applyProtection="1">
      <alignment horizontal="center" vertical="center" wrapText="1"/>
      <protection locked="0"/>
    </xf>
    <xf numFmtId="0" fontId="63" fillId="0" borderId="8" xfId="0" applyFont="1" applyBorder="1" applyAlignment="1" applyProtection="1">
      <alignment horizontal="center" vertical="center" wrapText="1"/>
      <protection locked="0"/>
    </xf>
    <xf numFmtId="0" fontId="63" fillId="0" borderId="5" xfId="0" applyFont="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58" fillId="3" borderId="76" xfId="0" applyFont="1" applyFill="1" applyBorder="1" applyAlignment="1">
      <alignment horizontal="left" vertical="center"/>
    </xf>
    <xf numFmtId="0" fontId="58" fillId="3" borderId="78" xfId="0" applyFont="1" applyFill="1" applyBorder="1" applyAlignment="1">
      <alignment horizontal="left" vertical="center"/>
    </xf>
    <xf numFmtId="0" fontId="60" fillId="3" borderId="76" xfId="0" applyFont="1" applyFill="1" applyBorder="1" applyAlignment="1">
      <alignment horizontal="center" vertical="center"/>
    </xf>
    <xf numFmtId="0" fontId="60" fillId="3" borderId="77" xfId="0" applyFont="1" applyFill="1" applyBorder="1" applyAlignment="1">
      <alignment horizontal="center" vertical="center"/>
    </xf>
    <xf numFmtId="0" fontId="60" fillId="3" borderId="78" xfId="0" applyFont="1" applyFill="1" applyBorder="1" applyAlignment="1">
      <alignment horizontal="center" vertical="center"/>
    </xf>
    <xf numFmtId="0" fontId="72" fillId="3" borderId="31" xfId="0" applyFont="1" applyFill="1" applyBorder="1" applyAlignment="1" applyProtection="1">
      <alignment horizontal="left" vertical="center"/>
      <protection locked="0"/>
    </xf>
    <xf numFmtId="0" fontId="8" fillId="3" borderId="31" xfId="0" applyFont="1" applyFill="1" applyBorder="1" applyAlignment="1" applyProtection="1">
      <alignment horizontal="left" vertical="center" wrapText="1"/>
      <protection locked="0"/>
    </xf>
    <xf numFmtId="0" fontId="7"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67" fillId="0" borderId="4" xfId="0" applyFont="1" applyBorder="1" applyAlignment="1" applyProtection="1">
      <alignment horizontal="center" vertical="center" wrapText="1"/>
      <protection locked="0"/>
    </xf>
    <xf numFmtId="0" fontId="67" fillId="0" borderId="8" xfId="0" applyFont="1" applyBorder="1" applyAlignment="1" applyProtection="1">
      <alignment horizontal="center" vertical="center" wrapText="1"/>
      <protection locked="0"/>
    </xf>
    <xf numFmtId="0" fontId="67" fillId="0" borderId="5" xfId="0" applyFont="1" applyBorder="1" applyAlignment="1" applyProtection="1">
      <alignment horizontal="center" vertical="center" wrapText="1"/>
      <protection locked="0"/>
    </xf>
    <xf numFmtId="0" fontId="58" fillId="0" borderId="31"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72" fillId="2" borderId="6" xfId="0" applyFont="1" applyFill="1" applyBorder="1" applyAlignment="1">
      <alignment horizontal="left" vertical="center"/>
    </xf>
    <xf numFmtId="0" fontId="72" fillId="2" borderId="10" xfId="0" applyFont="1" applyFill="1" applyBorder="1" applyAlignment="1">
      <alignment horizontal="left" vertical="center"/>
    </xf>
    <xf numFmtId="0" fontId="59" fillId="3" borderId="76" xfId="0" applyFont="1" applyFill="1" applyBorder="1" applyAlignment="1">
      <alignment horizontal="center" vertical="center" wrapText="1"/>
    </xf>
    <xf numFmtId="0" fontId="59" fillId="3" borderId="77" xfId="0" applyFont="1" applyFill="1" applyBorder="1" applyAlignment="1">
      <alignment horizontal="center" vertical="center" wrapText="1"/>
    </xf>
    <xf numFmtId="0" fontId="59" fillId="3" borderId="78" xfId="0" applyFont="1" applyFill="1" applyBorder="1" applyAlignment="1">
      <alignment horizontal="center" vertical="center" wrapText="1"/>
    </xf>
    <xf numFmtId="0" fontId="63" fillId="0" borderId="4" xfId="0" applyFont="1" applyBorder="1" applyAlignment="1">
      <alignment horizontal="center" vertical="center"/>
    </xf>
    <xf numFmtId="0" fontId="63" fillId="0" borderId="8" xfId="0" applyFont="1" applyBorder="1" applyAlignment="1">
      <alignment horizontal="center" vertical="center"/>
    </xf>
    <xf numFmtId="0" fontId="63"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74" xfId="0" applyFont="1" applyBorder="1" applyAlignment="1" applyProtection="1">
      <alignment horizontal="center" vertical="top"/>
      <protection hidden="1"/>
    </xf>
    <xf numFmtId="9" fontId="1" fillId="0" borderId="75" xfId="0" applyNumberFormat="1" applyFont="1" applyBorder="1" applyAlignment="1" applyProtection="1">
      <alignment horizontal="center" vertical="top" wrapText="1"/>
      <protection hidden="1"/>
    </xf>
    <xf numFmtId="4" fontId="4" fillId="17" borderId="80" xfId="0" applyNumberFormat="1" applyFont="1" applyFill="1" applyBorder="1" applyAlignment="1">
      <alignment horizontal="center" vertical="center" wrapText="1"/>
    </xf>
    <xf numFmtId="4" fontId="4" fillId="17" borderId="10" xfId="0" applyNumberFormat="1" applyFont="1" applyFill="1" applyBorder="1" applyAlignment="1">
      <alignment horizontal="center" vertical="center" wrapText="1"/>
    </xf>
    <xf numFmtId="4" fontId="4" fillId="17" borderId="7" xfId="0" applyNumberFormat="1" applyFont="1" applyFill="1" applyBorder="1" applyAlignment="1">
      <alignment horizontal="center" vertical="center" wrapText="1"/>
    </xf>
    <xf numFmtId="4" fontId="4" fillId="17" borderId="6" xfId="0" applyNumberFormat="1" applyFont="1" applyFill="1" applyBorder="1" applyAlignment="1">
      <alignment horizontal="center" vertical="center" wrapText="1"/>
    </xf>
    <xf numFmtId="4" fontId="4" fillId="17" borderId="2" xfId="0" applyNumberFormat="1"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7" borderId="10" xfId="0" applyFont="1" applyFill="1" applyBorder="1" applyAlignment="1">
      <alignment horizontal="center"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19" xfId="0" applyFont="1" applyBorder="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4" xfId="0" applyFont="1" applyBorder="1" applyAlignment="1">
      <alignment horizontal="center" vertical="center" wrapText="1"/>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3" fillId="0" borderId="0" xfId="0" applyFont="1" applyAlignment="1">
      <alignment horizontal="center" vertical="center" wrapText="1"/>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5" fillId="0" borderId="0" xfId="0" applyFont="1" applyAlignment="1">
      <alignment horizontal="center" vertical="center"/>
    </xf>
    <xf numFmtId="0" fontId="40" fillId="15" borderId="33" xfId="0" applyFont="1" applyFill="1" applyBorder="1" applyAlignment="1">
      <alignment horizontal="center" vertical="center" wrapText="1" readingOrder="1"/>
    </xf>
    <xf numFmtId="0" fontId="40" fillId="15" borderId="34" xfId="0" applyFont="1" applyFill="1" applyBorder="1" applyAlignment="1">
      <alignment horizontal="center" vertical="center" wrapText="1" readingOrder="1"/>
    </xf>
    <xf numFmtId="0" fontId="40" fillId="15" borderId="45"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42" xfId="0" applyFont="1" applyFill="1" applyBorder="1" applyAlignment="1">
      <alignment horizontal="center" vertical="center" wrapText="1" readingOrder="1"/>
    </xf>
    <xf numFmtId="0" fontId="37" fillId="15" borderId="43"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37" fillId="3" borderId="35" xfId="0" applyFont="1" applyFill="1" applyBorder="1" applyAlignment="1">
      <alignment horizontal="center" vertical="center" wrapText="1" readingOrder="1"/>
    </xf>
    <xf numFmtId="0" fontId="37" fillId="3" borderId="32" xfId="0"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9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rgb="FFC000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s>
  <tableStyles count="0" defaultTableStyle="TableStyleMedium2" defaultPivotStyle="PivotStyleLight16"/>
  <colors>
    <mruColors>
      <color rgb="FFFF66CC"/>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761999</xdr:colOff>
      <xdr:row>0</xdr:row>
      <xdr:rowOff>92365</xdr:rowOff>
    </xdr:from>
    <xdr:to>
      <xdr:col>4</xdr:col>
      <xdr:colOff>1435676</xdr:colOff>
      <xdr:row>1</xdr:row>
      <xdr:rowOff>1183641</xdr:rowOff>
    </xdr:to>
    <xdr:pic>
      <xdr:nvPicPr>
        <xdr:cNvPr id="3" name="Imagen 2" descr="LOGO NUEVO">
          <a:extLst>
            <a:ext uri="{FF2B5EF4-FFF2-40B4-BE49-F238E27FC236}">
              <a16:creationId xmlns:a16="http://schemas.microsoft.com/office/drawing/2014/main" xmlns="" id="{B5A96374-E659-41E2-AB80-A1C0329D47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499" y="96175"/>
          <a:ext cx="2999682" cy="1297016"/>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1" zoomScale="110" zoomScaleNormal="110" workbookViewId="0">
      <selection activeCell="E19" sqref="E19:F19"/>
    </sheetView>
  </sheetViews>
  <sheetFormatPr baseColWidth="10" defaultColWidth="11.42578125" defaultRowHeight="15" x14ac:dyDescent="0.25"/>
  <cols>
    <col min="1" max="1" width="2.85546875" style="82" customWidth="1"/>
    <col min="2" max="3" width="24.7109375" style="82" customWidth="1"/>
    <col min="4" max="4" width="16" style="82" customWidth="1"/>
    <col min="5" max="5" width="24.7109375" style="82" customWidth="1"/>
    <col min="6" max="6" width="27.7109375" style="82" customWidth="1"/>
    <col min="7" max="8" width="24.7109375" style="82" customWidth="1"/>
    <col min="9" max="16384" width="11.42578125" style="82"/>
  </cols>
  <sheetData>
    <row r="1" spans="2:8" ht="15.75" thickBot="1" x14ac:dyDescent="0.3"/>
    <row r="2" spans="2:8" ht="18" x14ac:dyDescent="0.25">
      <c r="B2" s="240" t="s">
        <v>163</v>
      </c>
      <c r="C2" s="241"/>
      <c r="D2" s="241"/>
      <c r="E2" s="241"/>
      <c r="F2" s="241"/>
      <c r="G2" s="241"/>
      <c r="H2" s="242"/>
    </row>
    <row r="3" spans="2:8" x14ac:dyDescent="0.25">
      <c r="B3" s="83"/>
      <c r="C3" s="84"/>
      <c r="D3" s="84"/>
      <c r="E3" s="84"/>
      <c r="F3" s="84"/>
      <c r="G3" s="84"/>
      <c r="H3" s="85"/>
    </row>
    <row r="4" spans="2:8" ht="63" customHeight="1" x14ac:dyDescent="0.25">
      <c r="B4" s="243" t="s">
        <v>206</v>
      </c>
      <c r="C4" s="244"/>
      <c r="D4" s="244"/>
      <c r="E4" s="244"/>
      <c r="F4" s="244"/>
      <c r="G4" s="244"/>
      <c r="H4" s="245"/>
    </row>
    <row r="5" spans="2:8" ht="63" customHeight="1" x14ac:dyDescent="0.25">
      <c r="B5" s="246"/>
      <c r="C5" s="247"/>
      <c r="D5" s="247"/>
      <c r="E5" s="247"/>
      <c r="F5" s="247"/>
      <c r="G5" s="247"/>
      <c r="H5" s="248"/>
    </row>
    <row r="6" spans="2:8" ht="16.5" x14ac:dyDescent="0.25">
      <c r="B6" s="249" t="s">
        <v>161</v>
      </c>
      <c r="C6" s="250"/>
      <c r="D6" s="250"/>
      <c r="E6" s="250"/>
      <c r="F6" s="250"/>
      <c r="G6" s="250"/>
      <c r="H6" s="251"/>
    </row>
    <row r="7" spans="2:8" ht="95.25" customHeight="1" x14ac:dyDescent="0.25">
      <c r="B7" s="259" t="s">
        <v>166</v>
      </c>
      <c r="C7" s="260"/>
      <c r="D7" s="260"/>
      <c r="E7" s="260"/>
      <c r="F7" s="260"/>
      <c r="G7" s="260"/>
      <c r="H7" s="261"/>
    </row>
    <row r="8" spans="2:8" ht="16.5" x14ac:dyDescent="0.25">
      <c r="B8" s="119"/>
      <c r="C8" s="120"/>
      <c r="D8" s="120"/>
      <c r="E8" s="120"/>
      <c r="F8" s="120"/>
      <c r="G8" s="120"/>
      <c r="H8" s="121"/>
    </row>
    <row r="9" spans="2:8" ht="16.5" customHeight="1" x14ac:dyDescent="0.25">
      <c r="B9" s="252" t="s">
        <v>199</v>
      </c>
      <c r="C9" s="253"/>
      <c r="D9" s="253"/>
      <c r="E9" s="253"/>
      <c r="F9" s="253"/>
      <c r="G9" s="253"/>
      <c r="H9" s="254"/>
    </row>
    <row r="10" spans="2:8" ht="44.25" customHeight="1" x14ac:dyDescent="0.25">
      <c r="B10" s="252"/>
      <c r="C10" s="253"/>
      <c r="D10" s="253"/>
      <c r="E10" s="253"/>
      <c r="F10" s="253"/>
      <c r="G10" s="253"/>
      <c r="H10" s="254"/>
    </row>
    <row r="11" spans="2:8" ht="15.75" thickBot="1" x14ac:dyDescent="0.3">
      <c r="B11" s="108"/>
      <c r="C11" s="111"/>
      <c r="D11" s="116"/>
      <c r="E11" s="117"/>
      <c r="F11" s="117"/>
      <c r="G11" s="118"/>
      <c r="H11" s="112"/>
    </row>
    <row r="12" spans="2:8" ht="15.75" thickTop="1" x14ac:dyDescent="0.25">
      <c r="B12" s="108"/>
      <c r="C12" s="255" t="s">
        <v>162</v>
      </c>
      <c r="D12" s="256"/>
      <c r="E12" s="257" t="s">
        <v>200</v>
      </c>
      <c r="F12" s="258"/>
      <c r="G12" s="111"/>
      <c r="H12" s="112"/>
    </row>
    <row r="13" spans="2:8" ht="35.25" customHeight="1" x14ac:dyDescent="0.25">
      <c r="B13" s="108"/>
      <c r="C13" s="262" t="s">
        <v>193</v>
      </c>
      <c r="D13" s="263"/>
      <c r="E13" s="264" t="s">
        <v>198</v>
      </c>
      <c r="F13" s="265"/>
      <c r="G13" s="111"/>
      <c r="H13" s="112"/>
    </row>
    <row r="14" spans="2:8" ht="17.25" customHeight="1" x14ac:dyDescent="0.25">
      <c r="B14" s="108"/>
      <c r="C14" s="262" t="s">
        <v>194</v>
      </c>
      <c r="D14" s="263"/>
      <c r="E14" s="264" t="s">
        <v>196</v>
      </c>
      <c r="F14" s="265"/>
      <c r="G14" s="111"/>
      <c r="H14" s="112"/>
    </row>
    <row r="15" spans="2:8" ht="19.5" customHeight="1" x14ac:dyDescent="0.25">
      <c r="B15" s="108"/>
      <c r="C15" s="262" t="s">
        <v>195</v>
      </c>
      <c r="D15" s="263"/>
      <c r="E15" s="264" t="s">
        <v>197</v>
      </c>
      <c r="F15" s="265"/>
      <c r="G15" s="111"/>
      <c r="H15" s="112"/>
    </row>
    <row r="16" spans="2:8" ht="69.75" customHeight="1" x14ac:dyDescent="0.25">
      <c r="B16" s="108"/>
      <c r="C16" s="262" t="s">
        <v>164</v>
      </c>
      <c r="D16" s="263"/>
      <c r="E16" s="264" t="s">
        <v>165</v>
      </c>
      <c r="F16" s="265"/>
      <c r="G16" s="111"/>
      <c r="H16" s="112"/>
    </row>
    <row r="17" spans="2:8" ht="34.5" customHeight="1" x14ac:dyDescent="0.25">
      <c r="B17" s="108"/>
      <c r="C17" s="266" t="s">
        <v>2</v>
      </c>
      <c r="D17" s="267"/>
      <c r="E17" s="268" t="s">
        <v>207</v>
      </c>
      <c r="F17" s="269"/>
      <c r="G17" s="111"/>
      <c r="H17" s="112"/>
    </row>
    <row r="18" spans="2:8" ht="27.75" customHeight="1" x14ac:dyDescent="0.25">
      <c r="B18" s="108"/>
      <c r="C18" s="266" t="s">
        <v>3</v>
      </c>
      <c r="D18" s="267"/>
      <c r="E18" s="268" t="s">
        <v>208</v>
      </c>
      <c r="F18" s="269"/>
      <c r="G18" s="111"/>
      <c r="H18" s="112"/>
    </row>
    <row r="19" spans="2:8" ht="28.5" customHeight="1" x14ac:dyDescent="0.25">
      <c r="B19" s="108"/>
      <c r="C19" s="266" t="s">
        <v>41</v>
      </c>
      <c r="D19" s="267"/>
      <c r="E19" s="268" t="s">
        <v>209</v>
      </c>
      <c r="F19" s="269"/>
      <c r="G19" s="111"/>
      <c r="H19" s="112"/>
    </row>
    <row r="20" spans="2:8" ht="72.75" customHeight="1" x14ac:dyDescent="0.25">
      <c r="B20" s="108"/>
      <c r="C20" s="266" t="s">
        <v>1</v>
      </c>
      <c r="D20" s="267"/>
      <c r="E20" s="268" t="s">
        <v>210</v>
      </c>
      <c r="F20" s="269"/>
      <c r="G20" s="111"/>
      <c r="H20" s="112"/>
    </row>
    <row r="21" spans="2:8" ht="64.5" customHeight="1" x14ac:dyDescent="0.25">
      <c r="B21" s="108"/>
      <c r="C21" s="266" t="s">
        <v>49</v>
      </c>
      <c r="D21" s="267"/>
      <c r="E21" s="268" t="s">
        <v>168</v>
      </c>
      <c r="F21" s="269"/>
      <c r="G21" s="111"/>
      <c r="H21" s="112"/>
    </row>
    <row r="22" spans="2:8" ht="71.25" customHeight="1" x14ac:dyDescent="0.25">
      <c r="B22" s="108"/>
      <c r="C22" s="266" t="s">
        <v>167</v>
      </c>
      <c r="D22" s="267"/>
      <c r="E22" s="268" t="s">
        <v>169</v>
      </c>
      <c r="F22" s="269"/>
      <c r="G22" s="111"/>
      <c r="H22" s="112"/>
    </row>
    <row r="23" spans="2:8" ht="55.5" customHeight="1" x14ac:dyDescent="0.25">
      <c r="B23" s="108"/>
      <c r="C23" s="273" t="s">
        <v>170</v>
      </c>
      <c r="D23" s="274"/>
      <c r="E23" s="268" t="s">
        <v>171</v>
      </c>
      <c r="F23" s="269"/>
      <c r="G23" s="111"/>
      <c r="H23" s="112"/>
    </row>
    <row r="24" spans="2:8" ht="42" customHeight="1" x14ac:dyDescent="0.25">
      <c r="B24" s="108"/>
      <c r="C24" s="273" t="s">
        <v>47</v>
      </c>
      <c r="D24" s="274"/>
      <c r="E24" s="268" t="s">
        <v>172</v>
      </c>
      <c r="F24" s="269"/>
      <c r="G24" s="111"/>
      <c r="H24" s="112"/>
    </row>
    <row r="25" spans="2:8" ht="59.25" customHeight="1" x14ac:dyDescent="0.25">
      <c r="B25" s="108"/>
      <c r="C25" s="273" t="s">
        <v>160</v>
      </c>
      <c r="D25" s="274"/>
      <c r="E25" s="268" t="s">
        <v>173</v>
      </c>
      <c r="F25" s="269"/>
      <c r="G25" s="111"/>
      <c r="H25" s="112"/>
    </row>
    <row r="26" spans="2:8" ht="23.25" customHeight="1" x14ac:dyDescent="0.25">
      <c r="B26" s="108"/>
      <c r="C26" s="273" t="s">
        <v>12</v>
      </c>
      <c r="D26" s="274"/>
      <c r="E26" s="268" t="s">
        <v>174</v>
      </c>
      <c r="F26" s="269"/>
      <c r="G26" s="111"/>
      <c r="H26" s="112"/>
    </row>
    <row r="27" spans="2:8" ht="30.75" customHeight="1" x14ac:dyDescent="0.25">
      <c r="B27" s="108"/>
      <c r="C27" s="273" t="s">
        <v>178</v>
      </c>
      <c r="D27" s="274"/>
      <c r="E27" s="268" t="s">
        <v>175</v>
      </c>
      <c r="F27" s="269"/>
      <c r="G27" s="111"/>
      <c r="H27" s="112"/>
    </row>
    <row r="28" spans="2:8" ht="35.25" customHeight="1" x14ac:dyDescent="0.25">
      <c r="B28" s="108"/>
      <c r="C28" s="273" t="s">
        <v>179</v>
      </c>
      <c r="D28" s="274"/>
      <c r="E28" s="268" t="s">
        <v>176</v>
      </c>
      <c r="F28" s="269"/>
      <c r="G28" s="111"/>
      <c r="H28" s="112"/>
    </row>
    <row r="29" spans="2:8" ht="33" customHeight="1" x14ac:dyDescent="0.25">
      <c r="B29" s="108"/>
      <c r="C29" s="273" t="s">
        <v>179</v>
      </c>
      <c r="D29" s="274"/>
      <c r="E29" s="268" t="s">
        <v>176</v>
      </c>
      <c r="F29" s="269"/>
      <c r="G29" s="111"/>
      <c r="H29" s="112"/>
    </row>
    <row r="30" spans="2:8" ht="30" customHeight="1" x14ac:dyDescent="0.25">
      <c r="B30" s="108"/>
      <c r="C30" s="273" t="s">
        <v>180</v>
      </c>
      <c r="D30" s="274"/>
      <c r="E30" s="268" t="s">
        <v>177</v>
      </c>
      <c r="F30" s="269"/>
      <c r="G30" s="111"/>
      <c r="H30" s="112"/>
    </row>
    <row r="31" spans="2:8" ht="35.25" customHeight="1" x14ac:dyDescent="0.25">
      <c r="B31" s="108"/>
      <c r="C31" s="273" t="s">
        <v>181</v>
      </c>
      <c r="D31" s="274"/>
      <c r="E31" s="268" t="s">
        <v>182</v>
      </c>
      <c r="F31" s="269"/>
      <c r="G31" s="111"/>
      <c r="H31" s="112"/>
    </row>
    <row r="32" spans="2:8" ht="31.5" customHeight="1" x14ac:dyDescent="0.25">
      <c r="B32" s="108"/>
      <c r="C32" s="273" t="s">
        <v>183</v>
      </c>
      <c r="D32" s="274"/>
      <c r="E32" s="268" t="s">
        <v>184</v>
      </c>
      <c r="F32" s="269"/>
      <c r="G32" s="111"/>
      <c r="H32" s="112"/>
    </row>
    <row r="33" spans="2:8" ht="35.25" customHeight="1" x14ac:dyDescent="0.25">
      <c r="B33" s="108"/>
      <c r="C33" s="273" t="s">
        <v>185</v>
      </c>
      <c r="D33" s="274"/>
      <c r="E33" s="268" t="s">
        <v>186</v>
      </c>
      <c r="F33" s="269"/>
      <c r="G33" s="111"/>
      <c r="H33" s="112"/>
    </row>
    <row r="34" spans="2:8" ht="59.25" customHeight="1" x14ac:dyDescent="0.25">
      <c r="B34" s="108"/>
      <c r="C34" s="273" t="s">
        <v>187</v>
      </c>
      <c r="D34" s="274"/>
      <c r="E34" s="268" t="s">
        <v>188</v>
      </c>
      <c r="F34" s="269"/>
      <c r="G34" s="111"/>
      <c r="H34" s="112"/>
    </row>
    <row r="35" spans="2:8" ht="29.25" customHeight="1" x14ac:dyDescent="0.25">
      <c r="B35" s="108"/>
      <c r="C35" s="273" t="s">
        <v>29</v>
      </c>
      <c r="D35" s="274"/>
      <c r="E35" s="268" t="s">
        <v>189</v>
      </c>
      <c r="F35" s="269"/>
      <c r="G35" s="111"/>
      <c r="H35" s="112"/>
    </row>
    <row r="36" spans="2:8" ht="82.5" customHeight="1" x14ac:dyDescent="0.25">
      <c r="B36" s="108"/>
      <c r="C36" s="273" t="s">
        <v>191</v>
      </c>
      <c r="D36" s="274"/>
      <c r="E36" s="268" t="s">
        <v>190</v>
      </c>
      <c r="F36" s="269"/>
      <c r="G36" s="111"/>
      <c r="H36" s="112"/>
    </row>
    <row r="37" spans="2:8" ht="46.5" customHeight="1" x14ac:dyDescent="0.25">
      <c r="B37" s="108"/>
      <c r="C37" s="273" t="s">
        <v>38</v>
      </c>
      <c r="D37" s="274"/>
      <c r="E37" s="268" t="s">
        <v>192</v>
      </c>
      <c r="F37" s="269"/>
      <c r="G37" s="111"/>
      <c r="H37" s="112"/>
    </row>
    <row r="38" spans="2:8" ht="6.75" customHeight="1" thickBot="1" x14ac:dyDescent="0.3">
      <c r="B38" s="108"/>
      <c r="C38" s="275"/>
      <c r="D38" s="276"/>
      <c r="E38" s="277"/>
      <c r="F38" s="278"/>
      <c r="G38" s="111"/>
      <c r="H38" s="112"/>
    </row>
    <row r="39" spans="2:8" ht="15.75" thickTop="1" x14ac:dyDescent="0.25">
      <c r="B39" s="108"/>
      <c r="C39" s="109"/>
      <c r="D39" s="109"/>
      <c r="E39" s="110"/>
      <c r="F39" s="110"/>
      <c r="G39" s="111"/>
      <c r="H39" s="112"/>
    </row>
    <row r="40" spans="2:8" ht="21" customHeight="1" x14ac:dyDescent="0.25">
      <c r="B40" s="270" t="s">
        <v>201</v>
      </c>
      <c r="C40" s="271"/>
      <c r="D40" s="271"/>
      <c r="E40" s="271"/>
      <c r="F40" s="271"/>
      <c r="G40" s="271"/>
      <c r="H40" s="272"/>
    </row>
    <row r="41" spans="2:8" ht="20.25" customHeight="1" x14ac:dyDescent="0.25">
      <c r="B41" s="270" t="s">
        <v>202</v>
      </c>
      <c r="C41" s="271"/>
      <c r="D41" s="271"/>
      <c r="E41" s="271"/>
      <c r="F41" s="271"/>
      <c r="G41" s="271"/>
      <c r="H41" s="272"/>
    </row>
    <row r="42" spans="2:8" ht="20.25" customHeight="1" x14ac:dyDescent="0.25">
      <c r="B42" s="270" t="s">
        <v>203</v>
      </c>
      <c r="C42" s="271"/>
      <c r="D42" s="271"/>
      <c r="E42" s="271"/>
      <c r="F42" s="271"/>
      <c r="G42" s="271"/>
      <c r="H42" s="272"/>
    </row>
    <row r="43" spans="2:8" ht="20.25" customHeight="1" x14ac:dyDescent="0.25">
      <c r="B43" s="270" t="s">
        <v>204</v>
      </c>
      <c r="C43" s="271"/>
      <c r="D43" s="271"/>
      <c r="E43" s="271"/>
      <c r="F43" s="271"/>
      <c r="G43" s="271"/>
      <c r="H43" s="272"/>
    </row>
    <row r="44" spans="2:8" x14ac:dyDescent="0.25">
      <c r="B44" s="270" t="s">
        <v>205</v>
      </c>
      <c r="C44" s="271"/>
      <c r="D44" s="271"/>
      <c r="E44" s="271"/>
      <c r="F44" s="271"/>
      <c r="G44" s="271"/>
      <c r="H44" s="272"/>
    </row>
    <row r="45" spans="2:8" ht="15.75" thickBot="1" x14ac:dyDescent="0.3">
      <c r="B45" s="113"/>
      <c r="C45" s="114"/>
      <c r="D45" s="114"/>
      <c r="E45" s="114"/>
      <c r="F45" s="114"/>
      <c r="G45" s="114"/>
      <c r="H45" s="115"/>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Q69"/>
  <sheetViews>
    <sheetView tabSelected="1" topLeftCell="A4" zoomScale="90" zoomScaleNormal="90" workbookViewId="0">
      <pane xSplit="5" ySplit="6" topLeftCell="AE10" activePane="bottomRight" state="frozen"/>
      <selection activeCell="A4" sqref="A4"/>
      <selection pane="topRight" activeCell="F4" sqref="F4"/>
      <selection pane="bottomLeft" activeCell="A10" sqref="A10"/>
      <selection pane="bottomRight" activeCell="AN4" sqref="AL1:AN1048576"/>
    </sheetView>
  </sheetViews>
  <sheetFormatPr baseColWidth="10" defaultColWidth="11.42578125" defaultRowHeight="16.5" outlineLevelCol="1" x14ac:dyDescent="0.3"/>
  <cols>
    <col min="1" max="1" width="4" style="2" bestFit="1" customWidth="1"/>
    <col min="2" max="2" width="14" style="2" customWidth="1"/>
    <col min="3" max="3" width="18.140625" style="2" customWidth="1"/>
    <col min="4" max="4" width="15.7109375" style="2" customWidth="1"/>
    <col min="5" max="5" width="26.285156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hidden="1" customWidth="1" outlineLevel="1"/>
    <col min="18" max="18" width="6.85546875" style="1" hidden="1" customWidth="1" outlineLevel="1"/>
    <col min="19" max="19" width="5" style="1" hidden="1" customWidth="1" outlineLevel="1"/>
    <col min="20" max="20" width="5.5703125" style="1" hidden="1" customWidth="1" outlineLevel="1"/>
    <col min="21" max="21" width="7.140625" style="1" hidden="1" customWidth="1" outlineLevel="1"/>
    <col min="22" max="22" width="6.7109375" style="1" hidden="1" customWidth="1" outlineLevel="1"/>
    <col min="23" max="23" width="7.5703125" style="1" hidden="1" customWidth="1" outlineLevel="1"/>
    <col min="24" max="24" width="11.85546875" style="1" hidden="1" customWidth="1" outlineLevel="1"/>
    <col min="25" max="25" width="8.7109375" style="1" hidden="1" customWidth="1" outlineLevel="1"/>
    <col min="26" max="26" width="10.42578125" style="1" hidden="1" customWidth="1" outlineLevel="1"/>
    <col min="27" max="27" width="9.28515625" style="1" hidden="1" customWidth="1" outlineLevel="1"/>
    <col min="28" max="28" width="9.140625" style="1" hidden="1" customWidth="1" outlineLevel="1"/>
    <col min="29" max="29" width="8.42578125" style="1" hidden="1" customWidth="1" outlineLevel="1"/>
    <col min="30" max="30" width="7.28515625" style="1" hidden="1" customWidth="1" outlineLevel="1"/>
    <col min="31" max="31" width="22.42578125" style="1" customWidth="1" collapsed="1"/>
    <col min="32" max="32" width="23" style="1" hidden="1" customWidth="1"/>
    <col min="33" max="33" width="17.140625" style="1" customWidth="1"/>
    <col min="34" max="34" width="15" style="1" customWidth="1"/>
    <col min="35" max="35" width="14.28515625" style="1" customWidth="1"/>
    <col min="36" max="36" width="36.28515625" style="1" customWidth="1"/>
    <col min="37" max="37" width="16.28515625" style="1" customWidth="1"/>
    <col min="38" max="38" width="16.42578125" style="1" hidden="1" customWidth="1" outlineLevel="1"/>
    <col min="39" max="39" width="21.7109375" style="1" hidden="1" customWidth="1" outlineLevel="1"/>
    <col min="40" max="40" width="54.140625" style="1" hidden="1" customWidth="1" outlineLevel="1"/>
    <col min="41" max="41" width="16.42578125" style="1" customWidth="1" collapsed="1"/>
    <col min="42" max="42" width="21.7109375" style="1" customWidth="1"/>
    <col min="43" max="43" width="60.28515625" style="1" customWidth="1"/>
    <col min="44" max="16384" width="11.42578125" style="1"/>
  </cols>
  <sheetData>
    <row r="1" spans="1:69" ht="16.5" customHeight="1" x14ac:dyDescent="0.3">
      <c r="A1" s="373"/>
      <c r="B1" s="373"/>
      <c r="C1" s="373"/>
      <c r="D1" s="373"/>
      <c r="E1" s="380" t="s">
        <v>226</v>
      </c>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2"/>
      <c r="AJ1" s="357" t="s">
        <v>227</v>
      </c>
      <c r="AK1" s="358"/>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69" ht="97.9" customHeight="1" x14ac:dyDescent="0.3">
      <c r="A2" s="373"/>
      <c r="B2" s="373"/>
      <c r="C2" s="373"/>
      <c r="D2" s="373"/>
      <c r="E2" s="359" t="s">
        <v>228</v>
      </c>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1"/>
      <c r="AJ2" s="357" t="s">
        <v>229</v>
      </c>
      <c r="AK2" s="358"/>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3" spans="1:69" x14ac:dyDescent="0.3">
      <c r="A3" s="27"/>
      <c r="B3" s="28"/>
      <c r="C3" s="27"/>
      <c r="D3" s="27"/>
      <c r="E3" s="7"/>
      <c r="F3" s="26"/>
      <c r="G3" s="7"/>
      <c r="H3" s="7"/>
      <c r="I3" s="7"/>
      <c r="J3" s="7"/>
      <c r="K3" s="7"/>
      <c r="L3" s="7"/>
      <c r="M3" s="7"/>
      <c r="N3" s="7"/>
      <c r="O3" s="7"/>
      <c r="P3" s="7"/>
      <c r="Q3" s="7"/>
      <c r="R3" s="7"/>
      <c r="S3" s="7"/>
      <c r="T3" s="7"/>
      <c r="U3" s="7"/>
      <c r="V3" s="7"/>
      <c r="W3" s="7"/>
      <c r="X3" s="7"/>
      <c r="Y3" s="7"/>
      <c r="Z3" s="7"/>
      <c r="AA3" s="7"/>
      <c r="AB3" s="7"/>
      <c r="AC3" s="7"/>
      <c r="AD3" s="7"/>
      <c r="AE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20.100000000000001" customHeight="1" x14ac:dyDescent="0.3">
      <c r="A4" s="378" t="s">
        <v>42</v>
      </c>
      <c r="B4" s="379"/>
      <c r="C4" s="362" t="s">
        <v>231</v>
      </c>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20.100000000000001" customHeight="1" x14ac:dyDescent="0.3">
      <c r="A5" s="378" t="s">
        <v>129</v>
      </c>
      <c r="B5" s="379"/>
      <c r="C5" s="363" t="s">
        <v>233</v>
      </c>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0.100000000000001" customHeight="1" x14ac:dyDescent="0.3">
      <c r="A6" s="378" t="s">
        <v>43</v>
      </c>
      <c r="B6" s="379"/>
      <c r="C6" s="363" t="s">
        <v>232</v>
      </c>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35.25" customHeight="1" x14ac:dyDescent="0.3">
      <c r="A7" s="374" t="s">
        <v>137</v>
      </c>
      <c r="B7" s="375"/>
      <c r="C7" s="376"/>
      <c r="D7" s="376"/>
      <c r="E7" s="376"/>
      <c r="F7" s="376"/>
      <c r="G7" s="377"/>
      <c r="H7" s="291" t="s">
        <v>138</v>
      </c>
      <c r="I7" s="376"/>
      <c r="J7" s="376"/>
      <c r="K7" s="376"/>
      <c r="L7" s="376"/>
      <c r="M7" s="376"/>
      <c r="N7" s="377"/>
      <c r="O7" s="291" t="s">
        <v>139</v>
      </c>
      <c r="P7" s="376"/>
      <c r="Q7" s="376"/>
      <c r="R7" s="376"/>
      <c r="S7" s="376"/>
      <c r="T7" s="376"/>
      <c r="U7" s="376"/>
      <c r="V7" s="376"/>
      <c r="W7" s="377"/>
      <c r="X7" s="291" t="s">
        <v>140</v>
      </c>
      <c r="Y7" s="376"/>
      <c r="Z7" s="376"/>
      <c r="AA7" s="376"/>
      <c r="AB7" s="376"/>
      <c r="AC7" s="376"/>
      <c r="AD7" s="377"/>
      <c r="AE7" s="291" t="s">
        <v>225</v>
      </c>
      <c r="AF7" s="376"/>
      <c r="AG7" s="376"/>
      <c r="AH7" s="376"/>
      <c r="AI7" s="376"/>
      <c r="AJ7" s="376"/>
      <c r="AK7" s="377"/>
      <c r="AL7" s="396" t="s">
        <v>272</v>
      </c>
      <c r="AM7" s="397"/>
      <c r="AN7" s="397"/>
      <c r="AO7" s="391" t="s">
        <v>287</v>
      </c>
      <c r="AP7" s="392"/>
      <c r="AQ7" s="393"/>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16.5" customHeight="1" x14ac:dyDescent="0.3">
      <c r="A8" s="312" t="s">
        <v>0</v>
      </c>
      <c r="B8" s="317" t="s">
        <v>2</v>
      </c>
      <c r="C8" s="286" t="s">
        <v>3</v>
      </c>
      <c r="D8" s="286" t="s">
        <v>41</v>
      </c>
      <c r="E8" s="315" t="s">
        <v>1</v>
      </c>
      <c r="F8" s="314" t="s">
        <v>49</v>
      </c>
      <c r="G8" s="287" t="s">
        <v>133</v>
      </c>
      <c r="H8" s="289" t="s">
        <v>33</v>
      </c>
      <c r="I8" s="290" t="s">
        <v>5</v>
      </c>
      <c r="J8" s="285" t="s">
        <v>86</v>
      </c>
      <c r="K8" s="285" t="s">
        <v>91</v>
      </c>
      <c r="L8" s="302" t="s">
        <v>44</v>
      </c>
      <c r="M8" s="290" t="s">
        <v>5</v>
      </c>
      <c r="N8" s="286" t="s">
        <v>47</v>
      </c>
      <c r="O8" s="296" t="s">
        <v>11</v>
      </c>
      <c r="P8" s="288" t="s">
        <v>160</v>
      </c>
      <c r="Q8" s="285" t="s">
        <v>12</v>
      </c>
      <c r="R8" s="295" t="s">
        <v>8</v>
      </c>
      <c r="S8" s="295"/>
      <c r="T8" s="295"/>
      <c r="U8" s="295"/>
      <c r="V8" s="295"/>
      <c r="W8" s="295"/>
      <c r="X8" s="298" t="s">
        <v>136</v>
      </c>
      <c r="Y8" s="298" t="s">
        <v>45</v>
      </c>
      <c r="Z8" s="298" t="s">
        <v>5</v>
      </c>
      <c r="AA8" s="298" t="s">
        <v>46</v>
      </c>
      <c r="AB8" s="298" t="s">
        <v>5</v>
      </c>
      <c r="AC8" s="298" t="s">
        <v>48</v>
      </c>
      <c r="AD8" s="296" t="s">
        <v>29</v>
      </c>
      <c r="AE8" s="288" t="s">
        <v>34</v>
      </c>
      <c r="AF8" s="295" t="s">
        <v>212</v>
      </c>
      <c r="AG8" s="288" t="s">
        <v>35</v>
      </c>
      <c r="AH8" s="295" t="s">
        <v>36</v>
      </c>
      <c r="AI8" s="295" t="s">
        <v>37</v>
      </c>
      <c r="AJ8" s="288" t="s">
        <v>230</v>
      </c>
      <c r="AK8" s="288" t="s">
        <v>38</v>
      </c>
      <c r="AL8" s="396" t="s">
        <v>273</v>
      </c>
      <c r="AM8" s="396" t="s">
        <v>274</v>
      </c>
      <c r="AN8" s="396" t="s">
        <v>275</v>
      </c>
      <c r="AO8" s="391" t="s">
        <v>273</v>
      </c>
      <c r="AP8" s="394" t="s">
        <v>274</v>
      </c>
      <c r="AQ8" s="395" t="s">
        <v>275</v>
      </c>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s="4" customFormat="1" ht="75" customHeight="1" x14ac:dyDescent="0.25">
      <c r="A9" s="313"/>
      <c r="B9" s="317"/>
      <c r="C9" s="295"/>
      <c r="D9" s="295"/>
      <c r="E9" s="316"/>
      <c r="F9" s="287"/>
      <c r="G9" s="288"/>
      <c r="H9" s="286"/>
      <c r="I9" s="291"/>
      <c r="J9" s="286"/>
      <c r="K9" s="286"/>
      <c r="L9" s="291"/>
      <c r="M9" s="291"/>
      <c r="N9" s="295"/>
      <c r="O9" s="297"/>
      <c r="P9" s="288"/>
      <c r="Q9" s="286"/>
      <c r="R9" s="168" t="s">
        <v>13</v>
      </c>
      <c r="S9" s="168" t="s">
        <v>17</v>
      </c>
      <c r="T9" s="168" t="s">
        <v>28</v>
      </c>
      <c r="U9" s="168" t="s">
        <v>18</v>
      </c>
      <c r="V9" s="168" t="s">
        <v>21</v>
      </c>
      <c r="W9" s="168" t="s">
        <v>24</v>
      </c>
      <c r="X9" s="298"/>
      <c r="Y9" s="298"/>
      <c r="Z9" s="298"/>
      <c r="AA9" s="298"/>
      <c r="AB9" s="298"/>
      <c r="AC9" s="298"/>
      <c r="AD9" s="297"/>
      <c r="AE9" s="288"/>
      <c r="AF9" s="295"/>
      <c r="AG9" s="288"/>
      <c r="AH9" s="295"/>
      <c r="AI9" s="295"/>
      <c r="AJ9" s="288"/>
      <c r="AK9" s="288"/>
      <c r="AL9" s="396" t="s">
        <v>276</v>
      </c>
      <c r="AM9" s="396" t="s">
        <v>274</v>
      </c>
      <c r="AN9" s="396"/>
      <c r="AO9" s="391" t="s">
        <v>276</v>
      </c>
      <c r="AP9" s="394" t="s">
        <v>274</v>
      </c>
      <c r="AQ9" s="395"/>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row>
    <row r="10" spans="1:69" s="3" customFormat="1" ht="392.25" customHeight="1" x14ac:dyDescent="0.25">
      <c r="A10" s="318">
        <v>1</v>
      </c>
      <c r="B10" s="303" t="s">
        <v>132</v>
      </c>
      <c r="C10" s="303" t="s">
        <v>244</v>
      </c>
      <c r="D10" s="303" t="s">
        <v>245</v>
      </c>
      <c r="E10" s="321" t="s">
        <v>246</v>
      </c>
      <c r="F10" s="303" t="s">
        <v>122</v>
      </c>
      <c r="G10" s="306">
        <v>100</v>
      </c>
      <c r="H10" s="279" t="str">
        <f>IF(G10&lt;=0,"",IF(G10&lt;=2,"Muy Baja",IF(G10&lt;=24,"Baja",IF(G10&lt;=500,"Media",IF(G10&lt;=5000,"Alta","Muy Alta")))))</f>
        <v>Media</v>
      </c>
      <c r="I10" s="282">
        <f>IF(H10="","",IF(H10="Muy Baja",0.2,IF(H10="Baja",0.4,IF(H10="Media",0.6,IF(H10="Alta",0.8,IF(H10="Muy Alta",1,))))))</f>
        <v>0.6</v>
      </c>
      <c r="J10" s="309" t="s">
        <v>153</v>
      </c>
      <c r="K10" s="282" t="str">
        <f ca="1">IF(NOT(ISERROR(MATCH(J10,'Tabla Impacto'!$B$221:$B$223,0))),'Tabla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279" t="str">
        <f ca="1">IF(OR(K10='Tabla Impacto'!$C$11,K10='Tabla Impacto'!$D$11),"Leve",IF(OR(K10='Tabla Impacto'!$C$12,K10='Tabla Impacto'!$D$12),"Menor",IF(OR(K10='Tabla Impacto'!$C$13,K10='Tabla Impacto'!$D$13),"Moderado",IF(OR(K10='Tabla Impacto'!$C$14,K10='Tabla Impacto'!$D$14),"Mayor",IF(OR(K10='Tabla Impacto'!$C$15,K10='Tabla Impacto'!$D$15),"Catastrófico","")))))</f>
        <v>Mayor</v>
      </c>
      <c r="M10" s="282">
        <f ca="1">IF(L10="","",IF(L10="Leve",0.2,IF(L10="Menor",0.4,IF(L10="Moderado",0.6,IF(L10="Mayor",0.8,IF(L10="Catastrófico",1,))))))</f>
        <v>0.8</v>
      </c>
      <c r="N10" s="292"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6">
        <v>1</v>
      </c>
      <c r="P10" s="209" t="s">
        <v>253</v>
      </c>
      <c r="Q10" s="137" t="str">
        <f>IF(OR(R10="Preventivo",R10="Detectivo"),"Probabilidad",IF(R10="Correctivo","Impacto",""))</f>
        <v>Probabilidad</v>
      </c>
      <c r="R10" s="138" t="s">
        <v>14</v>
      </c>
      <c r="S10" s="138" t="s">
        <v>9</v>
      </c>
      <c r="T10" s="139" t="str">
        <f>IF(AND(R10="Preventivo",S10="Automático"),"50%",IF(AND(R10="Preventivo",S10="Manual"),"40%",IF(AND(R10="Detectivo",S10="Automático"),"40%",IF(AND(R10="Detectivo",S10="Manual"),"30%",IF(AND(R10="Correctivo",S10="Automático"),"35%",IF(AND(R10="Correctivo",S10="Manual"),"25%",""))))))</f>
        <v>40%</v>
      </c>
      <c r="U10" s="138" t="s">
        <v>19</v>
      </c>
      <c r="V10" s="138" t="s">
        <v>22</v>
      </c>
      <c r="W10" s="138" t="s">
        <v>118</v>
      </c>
      <c r="X10" s="140">
        <f>IFERROR(IF(Q10="Probabilidad",(I10-(+I10*T10)),IF(Q10="Impacto",I10,"")),"")</f>
        <v>0.36</v>
      </c>
      <c r="Y10" s="141" t="str">
        <f>IFERROR(IF(X10="","",IF(X10&lt;=0.2,"Muy Baja",IF(X10&lt;=0.4,"Baja",IF(X10&lt;=0.6,"Media",IF(X10&lt;=0.8,"Alta","Muy Alta"))))),"")</f>
        <v>Baja</v>
      </c>
      <c r="Z10" s="142">
        <f>+X10</f>
        <v>0.36</v>
      </c>
      <c r="AA10" s="141" t="str">
        <f ca="1">IFERROR(IF(AB10="","",IF(AB10&lt;=0.2,"Leve",IF(AB10&lt;=0.4,"Menor",IF(AB10&lt;=0.6,"Moderado",IF(AB10&lt;=0.8,"Mayor","Catastrófico"))))),"")</f>
        <v>Mayor</v>
      </c>
      <c r="AB10" s="142">
        <f ca="1">IFERROR(IF(Q10="Impacto",(M10-(+M10*T10)),IF(Q10="Probabilidad",M10,"")),"")</f>
        <v>0.8</v>
      </c>
      <c r="AC10" s="14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44" t="s">
        <v>135</v>
      </c>
      <c r="AE10" s="215" t="s">
        <v>257</v>
      </c>
      <c r="AF10" s="211" t="s">
        <v>213</v>
      </c>
      <c r="AG10" s="200" t="s">
        <v>258</v>
      </c>
      <c r="AH10" s="167" t="s">
        <v>251</v>
      </c>
      <c r="AI10" s="167" t="s">
        <v>252</v>
      </c>
      <c r="AJ10" s="166" t="s">
        <v>290</v>
      </c>
      <c r="AK10" s="147" t="s">
        <v>40</v>
      </c>
      <c r="AL10" s="232">
        <v>0</v>
      </c>
      <c r="AM10" s="231" t="s">
        <v>278</v>
      </c>
      <c r="AN10" s="237" t="s">
        <v>277</v>
      </c>
      <c r="AO10" s="238">
        <v>0</v>
      </c>
      <c r="AP10" s="235" t="s">
        <v>295</v>
      </c>
      <c r="AQ10" s="235" t="s">
        <v>288</v>
      </c>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row>
    <row r="11" spans="1:69" ht="218.45" hidden="1" customHeight="1" x14ac:dyDescent="0.3">
      <c r="A11" s="319"/>
      <c r="B11" s="304"/>
      <c r="C11" s="304"/>
      <c r="D11" s="304"/>
      <c r="E11" s="322"/>
      <c r="F11" s="304"/>
      <c r="G11" s="307"/>
      <c r="H11" s="280"/>
      <c r="I11" s="283"/>
      <c r="J11" s="310"/>
      <c r="K11" s="283">
        <f ca="1">IF(NOT(ISERROR(MATCH(J11,_xlfn.ANCHORARRAY(E22),0))),I24&amp;"Por favor no seleccionar los criterios de impacto",J11)</f>
        <v>0</v>
      </c>
      <c r="L11" s="280"/>
      <c r="M11" s="283"/>
      <c r="N11" s="293"/>
      <c r="O11" s="6">
        <v>2</v>
      </c>
      <c r="P11" s="151"/>
      <c r="Q11" s="137"/>
      <c r="R11" s="138"/>
      <c r="S11" s="138"/>
      <c r="T11" s="139"/>
      <c r="U11" s="138"/>
      <c r="V11" s="138"/>
      <c r="W11" s="138"/>
      <c r="X11" s="140"/>
      <c r="Y11" s="141"/>
      <c r="Z11" s="142"/>
      <c r="AA11" s="141"/>
      <c r="AB11" s="142"/>
      <c r="AC11" s="143"/>
      <c r="AD11" s="131"/>
      <c r="AE11" s="199"/>
      <c r="AF11" s="211"/>
      <c r="AG11" s="200" t="s">
        <v>214</v>
      </c>
      <c r="AH11" s="146"/>
      <c r="AI11" s="146"/>
      <c r="AJ11" s="132"/>
      <c r="AK11" s="133"/>
      <c r="AL11" s="231"/>
      <c r="AM11" s="231"/>
      <c r="AN11" s="237"/>
      <c r="AO11" s="239"/>
      <c r="AP11" s="235"/>
      <c r="AQ11" s="235"/>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row>
    <row r="12" spans="1:69" ht="151.5" hidden="1" customHeight="1" x14ac:dyDescent="0.3">
      <c r="A12" s="319"/>
      <c r="B12" s="304"/>
      <c r="C12" s="304"/>
      <c r="D12" s="304"/>
      <c r="E12" s="322"/>
      <c r="F12" s="304"/>
      <c r="G12" s="307"/>
      <c r="H12" s="280"/>
      <c r="I12" s="283"/>
      <c r="J12" s="310"/>
      <c r="K12" s="283">
        <f ca="1">IF(NOT(ISERROR(MATCH(J12,_xlfn.ANCHORARRAY(E23),0))),I25&amp;"Por favor no seleccionar los criterios de impacto",J12)</f>
        <v>0</v>
      </c>
      <c r="L12" s="280"/>
      <c r="M12" s="283"/>
      <c r="N12" s="293"/>
      <c r="O12" s="122">
        <v>3</v>
      </c>
      <c r="P12" s="151"/>
      <c r="Q12" s="124" t="str">
        <f>IF(OR(R12="Preventivo",R12="Detectivo"),"Probabilidad",IF(R12="Correctivo","Impacto",""))</f>
        <v/>
      </c>
      <c r="R12" s="125"/>
      <c r="S12" s="125"/>
      <c r="T12" s="126" t="str">
        <f t="shared" ref="T12:T15" si="0">IF(AND(R12="Preventivo",S12="Automático"),"50%",IF(AND(R12="Preventivo",S12="Manual"),"40%",IF(AND(R12="Detectivo",S12="Automático"),"40%",IF(AND(R12="Detectivo",S12="Manual"),"30%",IF(AND(R12="Correctivo",S12="Automático"),"35%",IF(AND(R12="Correctivo",S12="Manual"),"25%",""))))))</f>
        <v/>
      </c>
      <c r="U12" s="125"/>
      <c r="V12" s="125"/>
      <c r="W12" s="125"/>
      <c r="X12" s="127" t="str">
        <f>IFERROR(IF(AND(Q11="Probabilidad",Q12="Probabilidad"),(Z11-(+Z11*T12)),IF(AND(Q11="Impacto",Q12="Probabilidad"),(Z10-(+Z10*T12)),IF(Q12="Impacto",Z11,""))),"")</f>
        <v/>
      </c>
      <c r="Y12" s="128" t="str">
        <f t="shared" ref="Y12:Y66" si="1">IFERROR(IF(X12="","",IF(X12&lt;=0.2,"Muy Baja",IF(X12&lt;=0.4,"Baja",IF(X12&lt;=0.6,"Media",IF(X12&lt;=0.8,"Alta","Muy Alta"))))),"")</f>
        <v/>
      </c>
      <c r="Z12" s="129" t="str">
        <f t="shared" ref="Z12:Z15" si="2">+X12</f>
        <v/>
      </c>
      <c r="AA12" s="128" t="str">
        <f t="shared" ref="AA12:AA66" si="3">IFERROR(IF(AB12="","",IF(AB12&lt;=0.2,"Leve",IF(AB12&lt;=0.4,"Menor",IF(AB12&lt;=0.6,"Moderado",IF(AB12&lt;=0.8,"Mayor","Catastrófico"))))),"")</f>
        <v/>
      </c>
      <c r="AB12" s="129" t="str">
        <f>IFERROR(IF(AND(Q11="Impacto",Q12="Impacto"),(AB11-(+AB11*T12)),IF(AND(Q11="Probabilidad",Q12="Impacto"),(AB10-(+AB10*T12)),IF(Q12="Probabilidad",AB11,""))),"")</f>
        <v/>
      </c>
      <c r="AC12" s="130" t="str">
        <f t="shared" ref="AC12: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1"/>
      <c r="AE12" s="202"/>
      <c r="AF12" s="211" t="s">
        <v>213</v>
      </c>
      <c r="AG12" s="200" t="s">
        <v>214</v>
      </c>
      <c r="AH12" s="134"/>
      <c r="AI12" s="134"/>
      <c r="AJ12" s="132"/>
      <c r="AK12" s="133"/>
      <c r="AL12" s="231"/>
      <c r="AM12" s="231"/>
      <c r="AN12" s="237"/>
      <c r="AO12" s="239"/>
      <c r="AP12" s="235"/>
      <c r="AQ12" s="235"/>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row>
    <row r="13" spans="1:69" ht="151.5" hidden="1" customHeight="1" x14ac:dyDescent="0.3">
      <c r="A13" s="319"/>
      <c r="B13" s="304"/>
      <c r="C13" s="304"/>
      <c r="D13" s="304"/>
      <c r="E13" s="322"/>
      <c r="F13" s="304"/>
      <c r="G13" s="307"/>
      <c r="H13" s="280"/>
      <c r="I13" s="283"/>
      <c r="J13" s="310"/>
      <c r="K13" s="283">
        <f ca="1">IF(NOT(ISERROR(MATCH(J13,_xlfn.ANCHORARRAY(E24),0))),I26&amp;"Por favor no seleccionar los criterios de impacto",J13)</f>
        <v>0</v>
      </c>
      <c r="L13" s="280"/>
      <c r="M13" s="283"/>
      <c r="N13" s="293"/>
      <c r="O13" s="122">
        <v>4</v>
      </c>
      <c r="P13" s="151"/>
      <c r="Q13" s="124" t="str">
        <f t="shared" ref="Q13:Q15" si="5">IF(OR(R13="Preventivo",R13="Detectivo"),"Probabilidad",IF(R13="Correctivo","Impacto",""))</f>
        <v/>
      </c>
      <c r="R13" s="125"/>
      <c r="S13" s="125"/>
      <c r="T13" s="126" t="str">
        <f t="shared" si="0"/>
        <v/>
      </c>
      <c r="U13" s="125"/>
      <c r="V13" s="125"/>
      <c r="W13" s="125"/>
      <c r="X13" s="127" t="str">
        <f t="shared" ref="X13:X15" si="6">IFERROR(IF(AND(Q12="Probabilidad",Q13="Probabilidad"),(Z12-(+Z12*T13)),IF(AND(Q12="Impacto",Q13="Probabilidad"),(Z11-(+Z11*T13)),IF(Q13="Impacto",Z12,""))),"")</f>
        <v/>
      </c>
      <c r="Y13" s="128" t="str">
        <f t="shared" si="1"/>
        <v/>
      </c>
      <c r="Z13" s="129" t="str">
        <f t="shared" si="2"/>
        <v/>
      </c>
      <c r="AA13" s="128" t="str">
        <f t="shared" si="3"/>
        <v/>
      </c>
      <c r="AB13" s="129" t="str">
        <f t="shared" ref="AB13:AB15" si="7">IFERROR(IF(AND(Q12="Impacto",Q13="Impacto"),(AB12-(+AB12*T13)),IF(AND(Q12="Probabilidad",Q13="Impacto"),(AB11-(+AB11*T13)),IF(Q13="Probabilidad",AB12,""))),"")</f>
        <v/>
      </c>
      <c r="AC13" s="130"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1"/>
      <c r="AE13" s="202"/>
      <c r="AF13" s="211" t="s">
        <v>213</v>
      </c>
      <c r="AG13" s="200" t="s">
        <v>214</v>
      </c>
      <c r="AH13" s="134"/>
      <c r="AI13" s="134"/>
      <c r="AJ13" s="132"/>
      <c r="AK13" s="133"/>
      <c r="AL13" s="231"/>
      <c r="AM13" s="231"/>
      <c r="AN13" s="237"/>
      <c r="AO13" s="239"/>
      <c r="AP13" s="235"/>
      <c r="AQ13" s="235"/>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51.5" hidden="1" customHeight="1" x14ac:dyDescent="0.3">
      <c r="A14" s="319"/>
      <c r="B14" s="304"/>
      <c r="C14" s="304"/>
      <c r="D14" s="304"/>
      <c r="E14" s="322"/>
      <c r="F14" s="304"/>
      <c r="G14" s="307"/>
      <c r="H14" s="280"/>
      <c r="I14" s="283"/>
      <c r="J14" s="310"/>
      <c r="K14" s="283">
        <f ca="1">IF(NOT(ISERROR(MATCH(J14,_xlfn.ANCHORARRAY(E25),0))),I27&amp;"Por favor no seleccionar los criterios de impacto",J14)</f>
        <v>0</v>
      </c>
      <c r="L14" s="280"/>
      <c r="M14" s="283"/>
      <c r="N14" s="293"/>
      <c r="O14" s="122">
        <v>5</v>
      </c>
      <c r="P14" s="151"/>
      <c r="Q14" s="124" t="str">
        <f t="shared" si="5"/>
        <v/>
      </c>
      <c r="R14" s="125"/>
      <c r="S14" s="125"/>
      <c r="T14" s="126" t="str">
        <f t="shared" si="0"/>
        <v/>
      </c>
      <c r="U14" s="125"/>
      <c r="V14" s="125"/>
      <c r="W14" s="125"/>
      <c r="X14" s="127" t="str">
        <f t="shared" si="6"/>
        <v/>
      </c>
      <c r="Y14" s="128" t="str">
        <f t="shared" si="1"/>
        <v/>
      </c>
      <c r="Z14" s="129" t="str">
        <f t="shared" si="2"/>
        <v/>
      </c>
      <c r="AA14" s="128" t="str">
        <f t="shared" si="3"/>
        <v/>
      </c>
      <c r="AB14" s="129" t="str">
        <f t="shared" si="7"/>
        <v/>
      </c>
      <c r="AC14" s="130" t="str">
        <f t="shared" si="4"/>
        <v/>
      </c>
      <c r="AD14" s="131"/>
      <c r="AE14" s="202"/>
      <c r="AF14" s="211" t="s">
        <v>213</v>
      </c>
      <c r="AG14" s="200" t="s">
        <v>214</v>
      </c>
      <c r="AH14" s="134"/>
      <c r="AI14" s="134"/>
      <c r="AJ14" s="132"/>
      <c r="AK14" s="133"/>
      <c r="AL14" s="231"/>
      <c r="AM14" s="231"/>
      <c r="AN14" s="237"/>
      <c r="AO14" s="239"/>
      <c r="AP14" s="235"/>
      <c r="AQ14" s="235"/>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4.45" hidden="1" customHeight="1" x14ac:dyDescent="0.3">
      <c r="A15" s="320"/>
      <c r="B15" s="305"/>
      <c r="C15" s="305"/>
      <c r="D15" s="305"/>
      <c r="E15" s="323"/>
      <c r="F15" s="305"/>
      <c r="G15" s="308"/>
      <c r="H15" s="281"/>
      <c r="I15" s="284"/>
      <c r="J15" s="311"/>
      <c r="K15" s="284">
        <f ca="1">IF(NOT(ISERROR(MATCH(J15,_xlfn.ANCHORARRAY(E26),0))),I28&amp;"Por favor no seleccionar los criterios de impacto",J15)</f>
        <v>0</v>
      </c>
      <c r="L15" s="281"/>
      <c r="M15" s="284"/>
      <c r="N15" s="294"/>
      <c r="O15" s="122">
        <v>6</v>
      </c>
      <c r="P15" s="151"/>
      <c r="Q15" s="124" t="str">
        <f t="shared" si="5"/>
        <v/>
      </c>
      <c r="R15" s="125"/>
      <c r="S15" s="125"/>
      <c r="T15" s="126" t="str">
        <f t="shared" si="0"/>
        <v/>
      </c>
      <c r="U15" s="125"/>
      <c r="V15" s="125"/>
      <c r="W15" s="125"/>
      <c r="X15" s="127" t="str">
        <f t="shared" si="6"/>
        <v/>
      </c>
      <c r="Y15" s="128" t="str">
        <f t="shared" si="1"/>
        <v/>
      </c>
      <c r="Z15" s="129" t="str">
        <f t="shared" si="2"/>
        <v/>
      </c>
      <c r="AA15" s="128" t="str">
        <f t="shared" si="3"/>
        <v/>
      </c>
      <c r="AB15" s="129" t="str">
        <f t="shared" si="7"/>
        <v/>
      </c>
      <c r="AC15" s="130" t="str">
        <f t="shared" si="4"/>
        <v/>
      </c>
      <c r="AD15" s="131"/>
      <c r="AE15" s="202"/>
      <c r="AF15" s="211" t="s">
        <v>213</v>
      </c>
      <c r="AG15" s="200" t="s">
        <v>214</v>
      </c>
      <c r="AH15" s="134"/>
      <c r="AI15" s="134"/>
      <c r="AJ15" s="132"/>
      <c r="AK15" s="133"/>
      <c r="AL15" s="231"/>
      <c r="AM15" s="231"/>
      <c r="AN15" s="237"/>
      <c r="AO15" s="239"/>
      <c r="AP15" s="235"/>
      <c r="AQ15" s="235"/>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58.25" customHeight="1" x14ac:dyDescent="0.3">
      <c r="A16" s="318">
        <v>2</v>
      </c>
      <c r="B16" s="303" t="s">
        <v>132</v>
      </c>
      <c r="C16" s="303" t="s">
        <v>259</v>
      </c>
      <c r="D16" s="303" t="s">
        <v>260</v>
      </c>
      <c r="E16" s="321" t="s">
        <v>261</v>
      </c>
      <c r="F16" s="303" t="s">
        <v>122</v>
      </c>
      <c r="G16" s="306">
        <v>100</v>
      </c>
      <c r="H16" s="279" t="str">
        <f>IF(G16&lt;=0,"",IF(G16&lt;=2,"Muy Baja",IF(G16&lt;=24,"Baja",IF(G16&lt;=500,"Media",IF(G16&lt;=5000,"Alta","Muy Alta")))))</f>
        <v>Media</v>
      </c>
      <c r="I16" s="282">
        <f>IF(H16="","",IF(H16="Muy Baja",0.2,IF(H16="Baja",0.4,IF(H16="Media",0.6,IF(H16="Alta",0.8,IF(H16="Muy Alta",1,))))))</f>
        <v>0.6</v>
      </c>
      <c r="J16" s="309" t="s">
        <v>153</v>
      </c>
      <c r="K16" s="299"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79" t="str">
        <f ca="1">IF(OR(K16='Tabla Impacto'!$C$11,K16='Tabla Impacto'!$D$11),"Leve",IF(OR(K16='Tabla Impacto'!$C$12,K16='Tabla Impacto'!$D$12),"Menor",IF(OR(K16='Tabla Impacto'!$C$13,K16='Tabla Impacto'!$D$13),"Moderado",IF(OR(K16='Tabla Impacto'!$C$14,K16='Tabla Impacto'!$D$14),"Mayor",IF(OR(K16='Tabla Impacto'!$C$15,K16='Tabla Impacto'!$D$15),"Catastrófico","")))))</f>
        <v>Mayor</v>
      </c>
      <c r="M16" s="282">
        <f ca="1">IF(L16="","",IF(L16="Leve",0.2,IF(L16="Menor",0.4,IF(L16="Moderado",0.6,IF(L16="Mayor",0.8,IF(L16="Catastrófico",1,))))))</f>
        <v>0.8</v>
      </c>
      <c r="N16" s="29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6">
        <v>1</v>
      </c>
      <c r="P16" s="209" t="s">
        <v>262</v>
      </c>
      <c r="Q16" s="137" t="str">
        <f>IF(OR(R16="Preventivo",R16="Detectivo"),"Probabilidad",IF(R16="Correctivo","Impacto",""))</f>
        <v>Probabilidad</v>
      </c>
      <c r="R16" s="138" t="s">
        <v>14</v>
      </c>
      <c r="S16" s="138" t="s">
        <v>9</v>
      </c>
      <c r="T16" s="139" t="str">
        <f>IF(AND(R16="Preventivo",S16="Automático"),"50%",IF(AND(R16="Preventivo",S16="Manual"),"40%",IF(AND(R16="Detectivo",S16="Automático"),"40%",IF(AND(R16="Detectivo",S16="Manual"),"30%",IF(AND(R16="Correctivo",S16="Automático"),"35%",IF(AND(R16="Correctivo",S16="Manual"),"25%",""))))))</f>
        <v>40%</v>
      </c>
      <c r="U16" s="138" t="s">
        <v>19</v>
      </c>
      <c r="V16" s="138" t="s">
        <v>22</v>
      </c>
      <c r="W16" s="138" t="s">
        <v>118</v>
      </c>
      <c r="X16" s="140">
        <f>IFERROR(IF(Q16="Probabilidad",(I16-(+I16*T16)),IF(Q16="Impacto",I16,"")),"")</f>
        <v>0.36</v>
      </c>
      <c r="Y16" s="141" t="str">
        <f>IFERROR(IF(X16="","",IF(X16&lt;=0.2,"Muy Baja",IF(X16&lt;=0.4,"Baja",IF(X16&lt;=0.6,"Media",IF(X16&lt;=0.8,"Alta","Muy Alta"))))),"")</f>
        <v>Baja</v>
      </c>
      <c r="Z16" s="142">
        <f>+X16</f>
        <v>0.36</v>
      </c>
      <c r="AA16" s="141" t="str">
        <f ca="1">IFERROR(IF(AB16="","",IF(AB16&lt;=0.2,"Leve",IF(AB16&lt;=0.4,"Menor",IF(AB16&lt;=0.6,"Moderado",IF(AB16&lt;=0.8,"Mayor","Catastrófico"))))),"")</f>
        <v>Mayor</v>
      </c>
      <c r="AB16" s="142">
        <f ca="1">IFERROR(IF(Q16="Impacto",(M16-(+M16*T16)),IF(Q16="Probabilidad",M16,"")),"")</f>
        <v>0.8</v>
      </c>
      <c r="AC16" s="14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1" t="s">
        <v>134</v>
      </c>
      <c r="AE16" s="215" t="s">
        <v>263</v>
      </c>
      <c r="AF16" s="211" t="s">
        <v>213</v>
      </c>
      <c r="AG16" s="200" t="s">
        <v>264</v>
      </c>
      <c r="AH16" s="167" t="s">
        <v>251</v>
      </c>
      <c r="AI16" s="167" t="s">
        <v>252</v>
      </c>
      <c r="AJ16" s="166" t="s">
        <v>291</v>
      </c>
      <c r="AK16" s="147" t="s">
        <v>40</v>
      </c>
      <c r="AL16" s="232">
        <v>1</v>
      </c>
      <c r="AM16" s="231" t="s">
        <v>280</v>
      </c>
      <c r="AN16" s="237" t="s">
        <v>281</v>
      </c>
      <c r="AO16" s="238">
        <v>1</v>
      </c>
      <c r="AP16" s="235" t="s">
        <v>296</v>
      </c>
      <c r="AQ16" s="235" t="s">
        <v>289</v>
      </c>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24.5" hidden="1" customHeight="1" x14ac:dyDescent="0.3">
      <c r="A17" s="319"/>
      <c r="B17" s="304"/>
      <c r="C17" s="304"/>
      <c r="D17" s="304"/>
      <c r="E17" s="322"/>
      <c r="F17" s="304"/>
      <c r="G17" s="307"/>
      <c r="H17" s="280"/>
      <c r="I17" s="283"/>
      <c r="J17" s="310"/>
      <c r="K17" s="300">
        <f ca="1">IF(NOT(ISERROR(MATCH(J17,_xlfn.ANCHORARRAY(E28),0))),I30&amp;"Por favor no seleccionar los criterios de impacto",J17)</f>
        <v>0</v>
      </c>
      <c r="L17" s="280"/>
      <c r="M17" s="283"/>
      <c r="N17" s="293"/>
      <c r="O17" s="6">
        <v>2</v>
      </c>
      <c r="P17" s="151"/>
      <c r="Q17" s="137"/>
      <c r="R17" s="138"/>
      <c r="S17" s="138"/>
      <c r="T17" s="139"/>
      <c r="U17" s="138"/>
      <c r="V17" s="138"/>
      <c r="W17" s="138"/>
      <c r="X17" s="140"/>
      <c r="Y17" s="141"/>
      <c r="Z17" s="142"/>
      <c r="AA17" s="141"/>
      <c r="AB17" s="142"/>
      <c r="AC17" s="143"/>
      <c r="AD17" s="144"/>
      <c r="AE17" s="199"/>
      <c r="AF17" s="211"/>
      <c r="AG17" s="200"/>
      <c r="AH17" s="146"/>
      <c r="AI17" s="146"/>
      <c r="AJ17" s="132"/>
      <c r="AK17" s="133"/>
      <c r="AL17" s="232"/>
      <c r="AM17" s="231"/>
      <c r="AN17" s="237"/>
      <c r="AO17" s="238"/>
      <c r="AP17" s="235"/>
      <c r="AQ17" s="235"/>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24.5" hidden="1" customHeight="1" x14ac:dyDescent="0.3">
      <c r="A18" s="319"/>
      <c r="B18" s="304"/>
      <c r="C18" s="304"/>
      <c r="D18" s="304"/>
      <c r="E18" s="322"/>
      <c r="F18" s="304"/>
      <c r="G18" s="307"/>
      <c r="H18" s="280"/>
      <c r="I18" s="283"/>
      <c r="J18" s="310"/>
      <c r="K18" s="300">
        <f ca="1">IF(NOT(ISERROR(MATCH(J18,_xlfn.ANCHORARRAY(E29),0))),I31&amp;"Por favor no seleccionar los criterios de impacto",J18)</f>
        <v>0</v>
      </c>
      <c r="L18" s="280"/>
      <c r="M18" s="283"/>
      <c r="N18" s="293"/>
      <c r="O18" s="6">
        <v>3</v>
      </c>
      <c r="P18" s="151"/>
      <c r="Q18" s="137"/>
      <c r="R18" s="138"/>
      <c r="S18" s="138"/>
      <c r="T18" s="139"/>
      <c r="U18" s="138"/>
      <c r="V18" s="138"/>
      <c r="W18" s="138"/>
      <c r="X18" s="140"/>
      <c r="Y18" s="141"/>
      <c r="Z18" s="142"/>
      <c r="AA18" s="141"/>
      <c r="AB18" s="142"/>
      <c r="AC18" s="143"/>
      <c r="AD18" s="144"/>
      <c r="AE18" s="199"/>
      <c r="AF18" s="211"/>
      <c r="AG18" s="200"/>
      <c r="AH18" s="146"/>
      <c r="AI18" s="146"/>
      <c r="AJ18" s="132" t="s">
        <v>292</v>
      </c>
      <c r="AK18" s="133"/>
      <c r="AL18" s="232"/>
      <c r="AM18" s="231"/>
      <c r="AN18" s="237"/>
      <c r="AO18" s="238"/>
      <c r="AP18" s="235"/>
      <c r="AQ18" s="235"/>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124.5" hidden="1" customHeight="1" x14ac:dyDescent="0.3">
      <c r="A19" s="319"/>
      <c r="B19" s="304"/>
      <c r="C19" s="304"/>
      <c r="D19" s="304"/>
      <c r="E19" s="322"/>
      <c r="F19" s="304"/>
      <c r="G19" s="307"/>
      <c r="H19" s="280"/>
      <c r="I19" s="283"/>
      <c r="J19" s="310"/>
      <c r="K19" s="300">
        <f ca="1">IF(NOT(ISERROR(MATCH(J19,_xlfn.ANCHORARRAY(E30),0))),I32&amp;"Por favor no seleccionar los criterios de impacto",J19)</f>
        <v>0</v>
      </c>
      <c r="L19" s="280"/>
      <c r="M19" s="283"/>
      <c r="N19" s="293"/>
      <c r="O19" s="6">
        <v>4</v>
      </c>
      <c r="P19" s="151"/>
      <c r="Q19" s="137" t="str">
        <f t="shared" ref="Q19:Q21" si="8">IF(OR(R19="Preventivo",R19="Detectivo"),"Probabilidad",IF(R19="Correctivo","Impacto",""))</f>
        <v/>
      </c>
      <c r="R19" s="125"/>
      <c r="S19" s="125"/>
      <c r="T19" s="126" t="str">
        <f t="shared" ref="T19:T21" si="9">IF(AND(R19="Preventivo",S19="Automático"),"50%",IF(AND(R19="Preventivo",S19="Manual"),"40%",IF(AND(R19="Detectivo",S19="Automático"),"40%",IF(AND(R19="Detectivo",S19="Manual"),"30%",IF(AND(R19="Correctivo",S19="Automático"),"35%",IF(AND(R19="Correctivo",S19="Manual"),"25%",""))))))</f>
        <v/>
      </c>
      <c r="U19" s="125"/>
      <c r="V19" s="125"/>
      <c r="W19" s="125"/>
      <c r="X19" s="127" t="str">
        <f t="shared" ref="X19:X21" si="10">IFERROR(IF(AND(Q18="Probabilidad",Q19="Probabilidad"),(Z18-(+Z18*T19)),IF(AND(Q18="Impacto",Q19="Probabilidad"),(Z17-(+Z17*T19)),IF(Q19="Impacto",Z18,""))),"")</f>
        <v/>
      </c>
      <c r="Y19" s="128" t="str">
        <f t="shared" si="1"/>
        <v/>
      </c>
      <c r="Z19" s="129" t="str">
        <f t="shared" ref="Z19:Z21" si="11">+X19</f>
        <v/>
      </c>
      <c r="AA19" s="128" t="str">
        <f t="shared" si="3"/>
        <v/>
      </c>
      <c r="AB19" s="129" t="str">
        <f t="shared" ref="AB19:AB21" si="12">IFERROR(IF(AND(Q18="Impacto",Q19="Impacto"),(AB18-(+AB18*T19)),IF(AND(Q18="Probabilidad",Q19="Impacto"),(AB17-(+AB17*T19)),IF(Q19="Probabilidad",AB18,""))),"")</f>
        <v/>
      </c>
      <c r="AC19" s="130"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1"/>
      <c r="AE19" s="202"/>
      <c r="AF19" s="211" t="s">
        <v>213</v>
      </c>
      <c r="AG19" s="203" t="s">
        <v>211</v>
      </c>
      <c r="AH19" s="134"/>
      <c r="AI19" s="134"/>
      <c r="AJ19" s="132"/>
      <c r="AK19" s="133"/>
      <c r="AL19" s="232"/>
      <c r="AM19" s="231"/>
      <c r="AN19" s="237"/>
      <c r="AO19" s="238"/>
      <c r="AP19" s="235"/>
      <c r="AQ19" s="235"/>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24.5" hidden="1" customHeight="1" x14ac:dyDescent="0.3">
      <c r="A20" s="319"/>
      <c r="B20" s="304"/>
      <c r="C20" s="304"/>
      <c r="D20" s="304"/>
      <c r="E20" s="322"/>
      <c r="F20" s="304"/>
      <c r="G20" s="307"/>
      <c r="H20" s="280"/>
      <c r="I20" s="283"/>
      <c r="J20" s="310"/>
      <c r="K20" s="300">
        <f ca="1">IF(NOT(ISERROR(MATCH(J20,_xlfn.ANCHORARRAY(E31),0))),I33&amp;"Por favor no seleccionar los criterios de impacto",J20)</f>
        <v>0</v>
      </c>
      <c r="L20" s="280"/>
      <c r="M20" s="283"/>
      <c r="N20" s="293"/>
      <c r="O20" s="6">
        <v>5</v>
      </c>
      <c r="P20" s="151"/>
      <c r="Q20" s="137" t="str">
        <f t="shared" si="8"/>
        <v/>
      </c>
      <c r="R20" s="125"/>
      <c r="S20" s="125"/>
      <c r="T20" s="126" t="str">
        <f t="shared" si="9"/>
        <v/>
      </c>
      <c r="U20" s="125"/>
      <c r="V20" s="125"/>
      <c r="W20" s="125"/>
      <c r="X20" s="127" t="str">
        <f t="shared" si="10"/>
        <v/>
      </c>
      <c r="Y20" s="128" t="str">
        <f t="shared" si="1"/>
        <v/>
      </c>
      <c r="Z20" s="129" t="str">
        <f t="shared" si="11"/>
        <v/>
      </c>
      <c r="AA20" s="128" t="str">
        <f t="shared" si="3"/>
        <v/>
      </c>
      <c r="AB20" s="129" t="str">
        <f t="shared" si="12"/>
        <v/>
      </c>
      <c r="AC20" s="130" t="str">
        <f t="shared" ref="AC20:AC21" si="13">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1"/>
      <c r="AE20" s="202"/>
      <c r="AF20" s="211" t="s">
        <v>213</v>
      </c>
      <c r="AG20" s="203" t="s">
        <v>211</v>
      </c>
      <c r="AH20" s="134"/>
      <c r="AI20" s="134"/>
      <c r="AJ20" s="132"/>
      <c r="AK20" s="133"/>
      <c r="AL20" s="232"/>
      <c r="AM20" s="231"/>
      <c r="AN20" s="237"/>
      <c r="AO20" s="238"/>
      <c r="AP20" s="235"/>
      <c r="AQ20" s="235"/>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24.5" hidden="1" customHeight="1" x14ac:dyDescent="0.3">
      <c r="A21" s="320"/>
      <c r="B21" s="305"/>
      <c r="C21" s="305"/>
      <c r="D21" s="305"/>
      <c r="E21" s="323"/>
      <c r="F21" s="305"/>
      <c r="G21" s="308"/>
      <c r="H21" s="281"/>
      <c r="I21" s="284"/>
      <c r="J21" s="311"/>
      <c r="K21" s="301">
        <f ca="1">IF(NOT(ISERROR(MATCH(J21,_xlfn.ANCHORARRAY(E32),0))),I34&amp;"Por favor no seleccionar los criterios de impacto",J21)</f>
        <v>0</v>
      </c>
      <c r="L21" s="281"/>
      <c r="M21" s="284"/>
      <c r="N21" s="294"/>
      <c r="O21" s="6">
        <v>6</v>
      </c>
      <c r="P21" s="151"/>
      <c r="Q21" s="137" t="str">
        <f t="shared" si="8"/>
        <v/>
      </c>
      <c r="R21" s="125"/>
      <c r="S21" s="125"/>
      <c r="T21" s="126" t="str">
        <f t="shared" si="9"/>
        <v/>
      </c>
      <c r="U21" s="125"/>
      <c r="V21" s="125"/>
      <c r="W21" s="125"/>
      <c r="X21" s="127" t="str">
        <f t="shared" si="10"/>
        <v/>
      </c>
      <c r="Y21" s="128" t="str">
        <f t="shared" si="1"/>
        <v/>
      </c>
      <c r="Z21" s="129" t="str">
        <f t="shared" si="11"/>
        <v/>
      </c>
      <c r="AA21" s="128" t="str">
        <f t="shared" si="3"/>
        <v/>
      </c>
      <c r="AB21" s="129" t="str">
        <f t="shared" si="12"/>
        <v/>
      </c>
      <c r="AC21" s="130" t="str">
        <f t="shared" si="13"/>
        <v/>
      </c>
      <c r="AD21" s="131"/>
      <c r="AE21" s="202"/>
      <c r="AF21" s="211" t="s">
        <v>213</v>
      </c>
      <c r="AG21" s="203" t="s">
        <v>211</v>
      </c>
      <c r="AH21" s="134"/>
      <c r="AI21" s="134"/>
      <c r="AJ21" s="132"/>
      <c r="AK21" s="133"/>
      <c r="AL21" s="232"/>
      <c r="AM21" s="231"/>
      <c r="AN21" s="237"/>
      <c r="AO21" s="238"/>
      <c r="AP21" s="235"/>
      <c r="AQ21" s="235"/>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s="183" customFormat="1" ht="124.5" hidden="1" customHeight="1" x14ac:dyDescent="0.3">
      <c r="A22" s="318">
        <v>3</v>
      </c>
      <c r="B22" s="324" t="s">
        <v>132</v>
      </c>
      <c r="C22" s="324" t="s">
        <v>234</v>
      </c>
      <c r="D22" s="324" t="s">
        <v>243</v>
      </c>
      <c r="E22" s="324" t="s">
        <v>247</v>
      </c>
      <c r="F22" s="303" t="s">
        <v>122</v>
      </c>
      <c r="G22" s="306">
        <v>100</v>
      </c>
      <c r="H22" s="279" t="str">
        <f>IF(G22&lt;=0,"",IF(G22&lt;=2,"Muy Baja",IF(G22&lt;=24,"Baja",IF(G22&lt;=500,"Media",IF(G22&lt;=5000,"Alta","Muy Alta")))))</f>
        <v>Media</v>
      </c>
      <c r="I22" s="282">
        <f>IF(H22="","",IF(H22="Muy Baja",0.2,IF(H22="Baja",0.4,IF(H22="Media",0.6,IF(H22="Alta",0.8,IF(H22="Muy Alta",1,))))))</f>
        <v>0.6</v>
      </c>
      <c r="J22" s="309" t="s">
        <v>152</v>
      </c>
      <c r="K22" s="282"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79" t="str">
        <f ca="1">IF(OR(K22='Tabla Impacto'!$C$11,K22='Tabla Impacto'!$D$11),"Leve",IF(OR(K22='Tabla Impacto'!$C$12,K22='Tabla Impacto'!$D$12),"Menor",IF(OR(K22='Tabla Impacto'!$C$13,K22='Tabla Impacto'!$D$13),"Moderado",IF(OR(K22='Tabla Impacto'!$C$14,K22='Tabla Impacto'!$D$14),"Mayor",IF(OR(K22='Tabla Impacto'!$C$15,K22='Tabla Impacto'!$D$15),"Catastrófico","")))))</f>
        <v>Moderado</v>
      </c>
      <c r="M22" s="282">
        <f ca="1">IF(L22="","",IF(L22="Leve",0.2,IF(L22="Menor",0.4,IF(L22="Moderado",0.6,IF(L22="Mayor",0.8,IF(L22="Catastrófico",1,))))))</f>
        <v>0.6</v>
      </c>
      <c r="N22" s="292"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72">
        <v>1</v>
      </c>
      <c r="P22" s="216" t="s">
        <v>266</v>
      </c>
      <c r="Q22" s="173" t="str">
        <f>IF(OR(R22="Preventivo",R22="Detectivo"),"Probabilidad",IF(R22="Correctivo","Impacto",""))</f>
        <v>Probabilidad</v>
      </c>
      <c r="R22" s="174" t="s">
        <v>15</v>
      </c>
      <c r="S22" s="174" t="s">
        <v>9</v>
      </c>
      <c r="T22" s="175" t="str">
        <f>IF(AND(R22="Preventivo",S22="Automático"),"50%",IF(AND(R22="Preventivo",S22="Manual"),"40%",IF(AND(R22="Detectivo",S22="Automático"),"40%",IF(AND(R22="Detectivo",S22="Manual"),"30%",IF(AND(R22="Correctivo",S22="Automático"),"35%",IF(AND(R22="Correctivo",S22="Manual"),"25%",""))))))</f>
        <v>30%</v>
      </c>
      <c r="U22" s="174" t="s">
        <v>19</v>
      </c>
      <c r="V22" s="174" t="s">
        <v>22</v>
      </c>
      <c r="W22" s="174" t="s">
        <v>118</v>
      </c>
      <c r="X22" s="176">
        <f>IFERROR(IF(Q22="Probabilidad",(I22-(+I22*T22)),IF(Q22="Impacto",I22,"")),"")</f>
        <v>0.42</v>
      </c>
      <c r="Y22" s="177" t="str">
        <f>IFERROR(IF(X22="","",IF(X22&lt;=0.2,"Muy Baja",IF(X22&lt;=0.4,"Baja",IF(X22&lt;=0.6,"Media",IF(X22&lt;=0.8,"Alta","Muy Alta"))))),"")</f>
        <v>Media</v>
      </c>
      <c r="Z22" s="178">
        <f>+X22</f>
        <v>0.42</v>
      </c>
      <c r="AA22" s="177" t="str">
        <f ca="1">IFERROR(IF(AB22="","",IF(AB22&lt;=0.2,"Leve",IF(AB22&lt;=0.4,"Menor",IF(AB22&lt;=0.6,"Moderado",IF(AB22&lt;=0.8,"Mayor","Catastrófico"))))),"")</f>
        <v>Moderado</v>
      </c>
      <c r="AB22" s="178">
        <f ca="1">IFERROR(IF(Q22="Impacto",(M22-(+M22*T22)),IF(Q22="Probabilidad",M22,"")),"")</f>
        <v>0.6</v>
      </c>
      <c r="AC22" s="179"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98" t="s">
        <v>32</v>
      </c>
      <c r="AE22" s="230" t="s">
        <v>266</v>
      </c>
      <c r="AF22" s="212" t="s">
        <v>213</v>
      </c>
      <c r="AG22" s="205"/>
      <c r="AH22" s="193" t="s">
        <v>251</v>
      </c>
      <c r="AI22" s="193" t="s">
        <v>252</v>
      </c>
      <c r="AJ22" s="180"/>
      <c r="AK22" s="181" t="s">
        <v>40</v>
      </c>
      <c r="AL22" s="232"/>
      <c r="AM22" s="231"/>
      <c r="AN22" s="237"/>
      <c r="AO22" s="238"/>
      <c r="AP22" s="235"/>
      <c r="AQ22" s="235"/>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c r="BP22" s="182"/>
      <c r="BQ22" s="182"/>
    </row>
    <row r="23" spans="1:69" ht="124.5" hidden="1" customHeight="1" x14ac:dyDescent="0.3">
      <c r="A23" s="319"/>
      <c r="B23" s="325"/>
      <c r="C23" s="325"/>
      <c r="D23" s="325"/>
      <c r="E23" s="325"/>
      <c r="F23" s="304"/>
      <c r="G23" s="307"/>
      <c r="H23" s="280"/>
      <c r="I23" s="283"/>
      <c r="J23" s="310"/>
      <c r="K23" s="283">
        <f ca="1">IF(NOT(ISERROR(MATCH(J23,_xlfn.ANCHORARRAY(E34),0))),#REF!&amp;"Por favor no seleccionar los criterios de impacto",J23)</f>
        <v>0</v>
      </c>
      <c r="L23" s="280"/>
      <c r="M23" s="283"/>
      <c r="N23" s="293"/>
      <c r="O23" s="6">
        <v>2</v>
      </c>
      <c r="P23" s="151"/>
      <c r="Q23" s="137"/>
      <c r="R23" s="138"/>
      <c r="S23" s="138"/>
      <c r="T23" s="139"/>
      <c r="U23" s="138"/>
      <c r="V23" s="138"/>
      <c r="W23" s="138"/>
      <c r="X23" s="149"/>
      <c r="Y23" s="141"/>
      <c r="Z23" s="142"/>
      <c r="AA23" s="141"/>
      <c r="AB23" s="142"/>
      <c r="AC23" s="143"/>
      <c r="AD23" s="144"/>
      <c r="AE23" s="199"/>
      <c r="AF23" s="211"/>
      <c r="AG23" s="201"/>
      <c r="AH23" s="146"/>
      <c r="AI23" s="146"/>
      <c r="AJ23" s="132"/>
      <c r="AK23" s="133"/>
      <c r="AL23" s="232"/>
      <c r="AM23" s="231"/>
      <c r="AN23" s="237"/>
      <c r="AO23" s="238"/>
      <c r="AP23" s="235"/>
      <c r="AQ23" s="235"/>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24.5" hidden="1" customHeight="1" x14ac:dyDescent="0.3">
      <c r="A24" s="319"/>
      <c r="B24" s="325"/>
      <c r="C24" s="325"/>
      <c r="D24" s="325"/>
      <c r="E24" s="325"/>
      <c r="F24" s="304"/>
      <c r="G24" s="307"/>
      <c r="H24" s="280"/>
      <c r="I24" s="283"/>
      <c r="J24" s="310"/>
      <c r="K24" s="283">
        <f ca="1">IF(NOT(ISERROR(MATCH(J24,_xlfn.ANCHORARRAY(#REF!),0))),#REF!&amp;"Por favor no seleccionar los criterios de impacto",J24)</f>
        <v>0</v>
      </c>
      <c r="L24" s="280"/>
      <c r="M24" s="283"/>
      <c r="N24" s="293"/>
      <c r="O24" s="6">
        <v>3</v>
      </c>
      <c r="P24" s="151"/>
      <c r="Q24" s="124" t="str">
        <f>IF(OR(R24="Preventivo",R24="Detectivo"),"Probabilidad",IF(R24="Correctivo","Impacto",""))</f>
        <v/>
      </c>
      <c r="R24" s="125"/>
      <c r="S24" s="125"/>
      <c r="T24" s="126" t="str">
        <f t="shared" ref="T24:T27" si="14">IF(AND(R24="Preventivo",S24="Automático"),"50%",IF(AND(R24="Preventivo",S24="Manual"),"40%",IF(AND(R24="Detectivo",S24="Automático"),"40%",IF(AND(R24="Detectivo",S24="Manual"),"30%",IF(AND(R24="Correctivo",S24="Automático"),"35%",IF(AND(R24="Correctivo",S24="Manual"),"25%",""))))))</f>
        <v/>
      </c>
      <c r="U24" s="125"/>
      <c r="V24" s="125"/>
      <c r="W24" s="125"/>
      <c r="X24" s="127" t="str">
        <f>IFERROR(IF(AND(Q23="Probabilidad",Q24="Probabilidad"),(Z23-(+Z23*T24)),IF(AND(Q23="Impacto",Q24="Probabilidad"),(Z22-(+Z22*T24)),IF(Q24="Impacto",Z23,""))),"")</f>
        <v/>
      </c>
      <c r="Y24" s="128" t="str">
        <f t="shared" si="1"/>
        <v/>
      </c>
      <c r="Z24" s="129" t="str">
        <f t="shared" ref="Z24:Z27" si="15">+X24</f>
        <v/>
      </c>
      <c r="AA24" s="128" t="str">
        <f t="shared" si="3"/>
        <v/>
      </c>
      <c r="AB24" s="129" t="str">
        <f>IFERROR(IF(AND(Q23="Impacto",Q24="Impacto"),(AB23-(+AB23*T24)),IF(AND(Q23="Probabilidad",Q24="Impacto"),(AB22-(+AB22*T24)),IF(Q24="Probabilidad",AB23,""))),"")</f>
        <v/>
      </c>
      <c r="AC24" s="130" t="str">
        <f t="shared" ref="AC24" si="16">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1"/>
      <c r="AE24" s="202"/>
      <c r="AF24" s="211" t="s">
        <v>213</v>
      </c>
      <c r="AG24" s="201" t="s">
        <v>211</v>
      </c>
      <c r="AH24" s="134">
        <v>44927</v>
      </c>
      <c r="AI24" s="134"/>
      <c r="AJ24" s="132"/>
      <c r="AK24" s="133"/>
      <c r="AL24" s="232"/>
      <c r="AM24" s="231"/>
      <c r="AN24" s="237"/>
      <c r="AO24" s="238"/>
      <c r="AP24" s="235"/>
      <c r="AQ24" s="235"/>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24.5" hidden="1" customHeight="1" x14ac:dyDescent="0.3">
      <c r="A25" s="319"/>
      <c r="B25" s="325"/>
      <c r="C25" s="325"/>
      <c r="D25" s="325"/>
      <c r="E25" s="325"/>
      <c r="F25" s="304"/>
      <c r="G25" s="307"/>
      <c r="H25" s="280"/>
      <c r="I25" s="283"/>
      <c r="J25" s="310"/>
      <c r="K25" s="283">
        <f ca="1">IF(NOT(ISERROR(MATCH(J25,_xlfn.ANCHORARRAY(#REF!),0))),I35&amp;"Por favor no seleccionar los criterios de impacto",J25)</f>
        <v>0</v>
      </c>
      <c r="L25" s="280"/>
      <c r="M25" s="283"/>
      <c r="N25" s="293"/>
      <c r="O25" s="6">
        <v>4</v>
      </c>
      <c r="P25" s="151"/>
      <c r="Q25" s="124" t="str">
        <f t="shared" ref="Q25:Q27" si="17">IF(OR(R25="Preventivo",R25="Detectivo"),"Probabilidad",IF(R25="Correctivo","Impacto",""))</f>
        <v/>
      </c>
      <c r="R25" s="125"/>
      <c r="S25" s="125"/>
      <c r="T25" s="126" t="str">
        <f t="shared" si="14"/>
        <v/>
      </c>
      <c r="U25" s="125"/>
      <c r="V25" s="125"/>
      <c r="W25" s="125"/>
      <c r="X25" s="127" t="str">
        <f t="shared" ref="X25:X27" si="18">IFERROR(IF(AND(Q24="Probabilidad",Q25="Probabilidad"),(Z24-(+Z24*T25)),IF(AND(Q24="Impacto",Q25="Probabilidad"),(Z23-(+Z23*T25)),IF(Q25="Impacto",Z24,""))),"")</f>
        <v/>
      </c>
      <c r="Y25" s="128" t="str">
        <f t="shared" si="1"/>
        <v/>
      </c>
      <c r="Z25" s="129" t="str">
        <f t="shared" si="15"/>
        <v/>
      </c>
      <c r="AA25" s="128" t="str">
        <f t="shared" si="3"/>
        <v/>
      </c>
      <c r="AB25" s="129" t="str">
        <f t="shared" ref="AB25:AB27" si="19">IFERROR(IF(AND(Q24="Impacto",Q25="Impacto"),(AB24-(+AB24*T25)),IF(AND(Q24="Probabilidad",Q25="Impacto"),(AB23-(+AB23*T25)),IF(Q25="Probabilidad",AB24,""))),"")</f>
        <v/>
      </c>
      <c r="AC25" s="130"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1"/>
      <c r="AE25" s="202"/>
      <c r="AF25" s="211" t="s">
        <v>213</v>
      </c>
      <c r="AG25" s="201" t="s">
        <v>211</v>
      </c>
      <c r="AH25" s="134">
        <v>44927</v>
      </c>
      <c r="AI25" s="134"/>
      <c r="AJ25" s="132"/>
      <c r="AK25" s="133"/>
      <c r="AL25" s="232"/>
      <c r="AM25" s="231"/>
      <c r="AN25" s="237"/>
      <c r="AO25" s="238"/>
      <c r="AP25" s="235"/>
      <c r="AQ25" s="235"/>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24.5" hidden="1" customHeight="1" x14ac:dyDescent="0.3">
      <c r="A26" s="319"/>
      <c r="B26" s="325"/>
      <c r="C26" s="325"/>
      <c r="D26" s="325"/>
      <c r="E26" s="325"/>
      <c r="F26" s="304"/>
      <c r="G26" s="307"/>
      <c r="H26" s="280"/>
      <c r="I26" s="283"/>
      <c r="J26" s="310"/>
      <c r="K26" s="283">
        <f ca="1">IF(NOT(ISERROR(MATCH(J26,_xlfn.ANCHORARRAY(#REF!),0))),I36&amp;"Por favor no seleccionar los criterios de impacto",J26)</f>
        <v>0</v>
      </c>
      <c r="L26" s="280"/>
      <c r="M26" s="283"/>
      <c r="N26" s="293"/>
      <c r="O26" s="6">
        <v>5</v>
      </c>
      <c r="P26" s="151"/>
      <c r="Q26" s="124" t="str">
        <f t="shared" si="17"/>
        <v/>
      </c>
      <c r="R26" s="125"/>
      <c r="S26" s="125"/>
      <c r="T26" s="126" t="str">
        <f t="shared" si="14"/>
        <v/>
      </c>
      <c r="U26" s="125"/>
      <c r="V26" s="125"/>
      <c r="W26" s="125"/>
      <c r="X26" s="127" t="str">
        <f t="shared" si="18"/>
        <v/>
      </c>
      <c r="Y26" s="128" t="str">
        <f t="shared" si="1"/>
        <v/>
      </c>
      <c r="Z26" s="129" t="str">
        <f t="shared" si="15"/>
        <v/>
      </c>
      <c r="AA26" s="128" t="str">
        <f t="shared" si="3"/>
        <v/>
      </c>
      <c r="AB26" s="129" t="str">
        <f t="shared" si="19"/>
        <v/>
      </c>
      <c r="AC26" s="130" t="str">
        <f t="shared" ref="AC26:AC27" si="20">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1"/>
      <c r="AE26" s="202"/>
      <c r="AF26" s="211" t="s">
        <v>213</v>
      </c>
      <c r="AG26" s="201" t="s">
        <v>211</v>
      </c>
      <c r="AH26" s="134">
        <v>44927</v>
      </c>
      <c r="AI26" s="134"/>
      <c r="AJ26" s="132"/>
      <c r="AK26" s="133"/>
      <c r="AL26" s="232"/>
      <c r="AM26" s="231"/>
      <c r="AN26" s="237"/>
      <c r="AO26" s="238"/>
      <c r="AP26" s="235"/>
      <c r="AQ26" s="235"/>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24.5" hidden="1" customHeight="1" x14ac:dyDescent="0.3">
      <c r="A27" s="320"/>
      <c r="B27" s="326"/>
      <c r="C27" s="326"/>
      <c r="D27" s="326"/>
      <c r="E27" s="326"/>
      <c r="F27" s="305"/>
      <c r="G27" s="308"/>
      <c r="H27" s="281"/>
      <c r="I27" s="284"/>
      <c r="J27" s="311"/>
      <c r="K27" s="284">
        <f ca="1">IF(NOT(ISERROR(MATCH(J27,_xlfn.ANCHORARRAY(E35),0))),I37&amp;"Por favor no seleccionar los criterios de impacto",J27)</f>
        <v>0</v>
      </c>
      <c r="L27" s="281"/>
      <c r="M27" s="284"/>
      <c r="N27" s="294"/>
      <c r="O27" s="6">
        <v>6</v>
      </c>
      <c r="P27" s="151"/>
      <c r="Q27" s="124" t="str">
        <f t="shared" si="17"/>
        <v/>
      </c>
      <c r="R27" s="125"/>
      <c r="S27" s="125"/>
      <c r="T27" s="126" t="str">
        <f t="shared" si="14"/>
        <v/>
      </c>
      <c r="U27" s="125"/>
      <c r="V27" s="125"/>
      <c r="W27" s="125"/>
      <c r="X27" s="127" t="str">
        <f t="shared" si="18"/>
        <v/>
      </c>
      <c r="Y27" s="128" t="str">
        <f t="shared" si="1"/>
        <v/>
      </c>
      <c r="Z27" s="129" t="str">
        <f t="shared" si="15"/>
        <v/>
      </c>
      <c r="AA27" s="128" t="str">
        <f t="shared" si="3"/>
        <v/>
      </c>
      <c r="AB27" s="129" t="str">
        <f t="shared" si="19"/>
        <v/>
      </c>
      <c r="AC27" s="130" t="str">
        <f t="shared" si="20"/>
        <v/>
      </c>
      <c r="AD27" s="131"/>
      <c r="AE27" s="202"/>
      <c r="AF27" s="211" t="s">
        <v>213</v>
      </c>
      <c r="AG27" s="201" t="s">
        <v>211</v>
      </c>
      <c r="AH27" s="134">
        <v>44927</v>
      </c>
      <c r="AI27" s="134"/>
      <c r="AJ27" s="132"/>
      <c r="AK27" s="133"/>
      <c r="AL27" s="232"/>
      <c r="AM27" s="231"/>
      <c r="AN27" s="237"/>
      <c r="AO27" s="238"/>
      <c r="AP27" s="235"/>
      <c r="AQ27" s="235"/>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226.5" customHeight="1" x14ac:dyDescent="0.3">
      <c r="A28" s="318">
        <v>3</v>
      </c>
      <c r="B28" s="303" t="s">
        <v>132</v>
      </c>
      <c r="C28" s="303" t="s">
        <v>235</v>
      </c>
      <c r="D28" s="303" t="s">
        <v>242</v>
      </c>
      <c r="E28" s="321" t="s">
        <v>248</v>
      </c>
      <c r="F28" s="303" t="s">
        <v>122</v>
      </c>
      <c r="G28" s="306">
        <v>100</v>
      </c>
      <c r="H28" s="279" t="str">
        <f>IF(G28&lt;=0,"",IF(G28&lt;=2,"Muy Baja",IF(G28&lt;=24,"Baja",IF(G28&lt;=500,"Media",IF(G28&lt;=5000,"Alta","Muy Alta")))))</f>
        <v>Media</v>
      </c>
      <c r="I28" s="282">
        <f>IF(H28="","",IF(H28="Muy Baja",0.2,IF(H28="Baja",0.4,IF(H28="Media",0.6,IF(H28="Alta",0.8,IF(H28="Muy Alta",1,))))))</f>
        <v>0.6</v>
      </c>
      <c r="J28" s="309" t="s">
        <v>151</v>
      </c>
      <c r="K28" s="282" t="str">
        <f ca="1">IF(NOT(ISERROR(MATCH(J28,'Tabla Impacto'!$B$221:$B$223,0))),'Tabla Impacto'!$F$223&amp;"Por favor no seleccionar los criterios de impacto(Afectación Económica o presupuestal y Pérdida Reputacional)",J28)</f>
        <v xml:space="preserve">     El riesgo afecta la imagen de la entidad internamente, de conocimiento general, nivel interno, de junta dircetiva y accionistas y/o de provedores</v>
      </c>
      <c r="L28" s="279" t="str">
        <f ca="1">IF(OR(K28='Tabla Impacto'!$C$11,K28='Tabla Impacto'!$D$11),"Leve",IF(OR(K28='Tabla Impacto'!$C$12,K28='Tabla Impacto'!$D$12),"Menor",IF(OR(K28='Tabla Impacto'!$C$13,K28='Tabla Impacto'!$D$13),"Moderado",IF(OR(K28='Tabla Impacto'!$C$14,K28='Tabla Impacto'!$D$14),"Mayor",IF(OR(K28='Tabla Impacto'!$C$15,K28='Tabla Impacto'!$D$15),"Catastrófico","")))))</f>
        <v>Menor</v>
      </c>
      <c r="M28" s="282">
        <f ca="1">IF(L28="","",IF(L28="Leve",0.2,IF(L28="Menor",0.4,IF(L28="Moderado",0.6,IF(L28="Mayor",0.8,IF(L28="Catastrófico",1,))))))</f>
        <v>0.4</v>
      </c>
      <c r="N28" s="292"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6">
        <v>1</v>
      </c>
      <c r="P28" s="209" t="s">
        <v>255</v>
      </c>
      <c r="Q28" s="137" t="str">
        <f>IF(OR(R28="Preventivo",R28="Detectivo"),"Probabilidad",IF(R28="Correctivo","Impacto",""))</f>
        <v>Impacto</v>
      </c>
      <c r="R28" s="138" t="s">
        <v>16</v>
      </c>
      <c r="S28" s="138" t="s">
        <v>9</v>
      </c>
      <c r="T28" s="139" t="str">
        <f>IF(AND(R28="Preventivo",S28="Automático"),"50%",IF(AND(R28="Preventivo",S28="Manual"),"40%",IF(AND(R28="Detectivo",S28="Automático"),"40%",IF(AND(R28="Detectivo",S28="Manual"),"30%",IF(AND(R28="Correctivo",S28="Automático"),"35%",IF(AND(R28="Correctivo",S28="Manual"),"25%",""))))))</f>
        <v>25%</v>
      </c>
      <c r="U28" s="138" t="s">
        <v>19</v>
      </c>
      <c r="V28" s="138" t="s">
        <v>22</v>
      </c>
      <c r="W28" s="138" t="s">
        <v>118</v>
      </c>
      <c r="X28" s="140">
        <f>IFERROR(IF(Q28="Probabilidad",(I28-(+I28*T28)),IF(Q28="Impacto",I28,"")),"")</f>
        <v>0.6</v>
      </c>
      <c r="Y28" s="141" t="str">
        <f>IFERROR(IF(X28="","",IF(X28&lt;=0.2,"Muy Baja",IF(X28&lt;=0.4,"Baja",IF(X28&lt;=0.6,"Media",IF(X28&lt;=0.8,"Alta","Muy Alta"))))),"")</f>
        <v>Media</v>
      </c>
      <c r="Z28" s="142">
        <f>+X28</f>
        <v>0.6</v>
      </c>
      <c r="AA28" s="141" t="str">
        <f ca="1">IFERROR(IF(AB28="","",IF(AB28&lt;=0.2,"Leve",IF(AB28&lt;=0.4,"Menor",IF(AB28&lt;=0.6,"Moderado",IF(AB28&lt;=0.8,"Mayor","Catastrófico"))))),"")</f>
        <v>Menor</v>
      </c>
      <c r="AB28" s="142">
        <f ca="1">IFERROR(IF(Q28="Impacto",(M28-(+M28*T28)),IF(Q28="Probabilidad",M28,"")),"")</f>
        <v>0.30000000000000004</v>
      </c>
      <c r="AC28" s="143"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44" t="s">
        <v>32</v>
      </c>
      <c r="AE28" s="210" t="s">
        <v>265</v>
      </c>
      <c r="AF28" s="211" t="s">
        <v>213</v>
      </c>
      <c r="AG28" s="200" t="s">
        <v>214</v>
      </c>
      <c r="AH28" s="167" t="s">
        <v>251</v>
      </c>
      <c r="AI28" s="167" t="s">
        <v>252</v>
      </c>
      <c r="AJ28" s="166" t="s">
        <v>271</v>
      </c>
      <c r="AK28" s="147" t="s">
        <v>40</v>
      </c>
      <c r="AL28" s="232" t="s">
        <v>279</v>
      </c>
      <c r="AM28" s="234" t="s">
        <v>279</v>
      </c>
      <c r="AN28" s="237" t="s">
        <v>282</v>
      </c>
      <c r="AO28" s="238" t="s">
        <v>279</v>
      </c>
      <c r="AP28" s="236" t="s">
        <v>279</v>
      </c>
      <c r="AQ28" s="235" t="s">
        <v>297</v>
      </c>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47" hidden="1" customHeight="1" x14ac:dyDescent="0.3">
      <c r="A29" s="319"/>
      <c r="B29" s="304"/>
      <c r="C29" s="304"/>
      <c r="D29" s="304"/>
      <c r="E29" s="327"/>
      <c r="F29" s="304"/>
      <c r="G29" s="307"/>
      <c r="H29" s="280"/>
      <c r="I29" s="283"/>
      <c r="J29" s="310"/>
      <c r="K29" s="283">
        <f ca="1">IF(NOT(ISERROR(MATCH(J29,_xlfn.ANCHORARRAY(E37),0))),I39&amp;"Por favor no seleccionar los criterios de impacto",J29)</f>
        <v>0</v>
      </c>
      <c r="L29" s="280"/>
      <c r="M29" s="283"/>
      <c r="N29" s="293"/>
      <c r="O29" s="6">
        <v>2</v>
      </c>
      <c r="P29" s="148"/>
      <c r="Q29" s="137"/>
      <c r="R29" s="138"/>
      <c r="S29" s="138"/>
      <c r="T29" s="139"/>
      <c r="U29" s="138"/>
      <c r="V29" s="138"/>
      <c r="W29" s="138"/>
      <c r="X29" s="140"/>
      <c r="Y29" s="141"/>
      <c r="Z29" s="142"/>
      <c r="AA29" s="141"/>
      <c r="AB29" s="142"/>
      <c r="AC29" s="143"/>
      <c r="AD29" s="144"/>
      <c r="AE29" s="210"/>
      <c r="AF29" s="211"/>
      <c r="AG29" s="201"/>
      <c r="AH29" s="146"/>
      <c r="AI29" s="150"/>
      <c r="AJ29" s="166"/>
      <c r="AK29" s="133"/>
      <c r="AL29" s="232"/>
      <c r="AM29" s="231"/>
      <c r="AN29" s="237"/>
      <c r="AO29" s="238"/>
      <c r="AP29" s="235"/>
      <c r="AQ29" s="235"/>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51.5" hidden="1" customHeight="1" x14ac:dyDescent="0.3">
      <c r="A30" s="319"/>
      <c r="B30" s="304"/>
      <c r="C30" s="304"/>
      <c r="D30" s="304"/>
      <c r="E30" s="327"/>
      <c r="F30" s="304"/>
      <c r="G30" s="307"/>
      <c r="H30" s="280"/>
      <c r="I30" s="283"/>
      <c r="J30" s="310"/>
      <c r="K30" s="283">
        <f ca="1">IF(NOT(ISERROR(MATCH(J30,_xlfn.ANCHORARRAY(E38),0))),I40&amp;"Por favor no seleccionar los criterios de impacto",J30)</f>
        <v>0</v>
      </c>
      <c r="L30" s="280"/>
      <c r="M30" s="283"/>
      <c r="N30" s="293"/>
      <c r="O30" s="6">
        <v>3</v>
      </c>
      <c r="P30" s="147"/>
      <c r="Q30" s="137"/>
      <c r="R30" s="138"/>
      <c r="S30" s="138"/>
      <c r="T30" s="139"/>
      <c r="U30" s="138"/>
      <c r="V30" s="138"/>
      <c r="W30" s="138"/>
      <c r="X30" s="140"/>
      <c r="Y30" s="141"/>
      <c r="Z30" s="142"/>
      <c r="AA30" s="141"/>
      <c r="AB30" s="142"/>
      <c r="AC30" s="143"/>
      <c r="AD30" s="144"/>
      <c r="AE30" s="210"/>
      <c r="AF30" s="211"/>
      <c r="AG30" s="201"/>
      <c r="AH30" s="146"/>
      <c r="AI30" s="150"/>
      <c r="AJ30" s="166"/>
      <c r="AK30" s="133"/>
      <c r="AL30" s="232"/>
      <c r="AM30" s="231"/>
      <c r="AN30" s="237"/>
      <c r="AO30" s="238"/>
      <c r="AP30" s="235"/>
      <c r="AQ30" s="235"/>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51.5" hidden="1" customHeight="1" x14ac:dyDescent="0.3">
      <c r="A31" s="319"/>
      <c r="B31" s="304"/>
      <c r="C31" s="304"/>
      <c r="D31" s="304"/>
      <c r="E31" s="327"/>
      <c r="F31" s="304"/>
      <c r="G31" s="307"/>
      <c r="H31" s="280"/>
      <c r="I31" s="283"/>
      <c r="J31" s="310"/>
      <c r="K31" s="283">
        <f ca="1">IF(NOT(ISERROR(MATCH(J31,_xlfn.ANCHORARRAY(E39),0))),I41&amp;"Por favor no seleccionar los criterios de impacto",J31)</f>
        <v>0</v>
      </c>
      <c r="L31" s="280"/>
      <c r="M31" s="283"/>
      <c r="N31" s="293"/>
      <c r="O31" s="6">
        <v>4</v>
      </c>
      <c r="P31" s="123"/>
      <c r="Q31" s="124" t="str">
        <f t="shared" ref="Q31:Q33" si="21">IF(OR(R31="Preventivo",R31="Detectivo"),"Probabilidad",IF(R31="Correctivo","Impacto",""))</f>
        <v/>
      </c>
      <c r="R31" s="125"/>
      <c r="S31" s="125"/>
      <c r="T31" s="126" t="str">
        <f t="shared" ref="T31:T33" si="22">IF(AND(R31="Preventivo",S31="Automático"),"50%",IF(AND(R31="Preventivo",S31="Manual"),"40%",IF(AND(R31="Detectivo",S31="Automático"),"40%",IF(AND(R31="Detectivo",S31="Manual"),"30%",IF(AND(R31="Correctivo",S31="Automático"),"35%",IF(AND(R31="Correctivo",S31="Manual"),"25%",""))))))</f>
        <v/>
      </c>
      <c r="U31" s="125"/>
      <c r="V31" s="125"/>
      <c r="W31" s="125"/>
      <c r="X31" s="127" t="str">
        <f t="shared" ref="X31:X33" si="23">IFERROR(IF(AND(Q30="Probabilidad",Q31="Probabilidad"),(Z30-(+Z30*T31)),IF(AND(Q30="Impacto",Q31="Probabilidad"),(Z29-(+Z29*T31)),IF(Q31="Impacto",Z30,""))),"")</f>
        <v/>
      </c>
      <c r="Y31" s="128" t="str">
        <f t="shared" si="1"/>
        <v/>
      </c>
      <c r="Z31" s="129" t="str">
        <f t="shared" ref="Z31:Z33" si="24">+X31</f>
        <v/>
      </c>
      <c r="AA31" s="128" t="str">
        <f t="shared" si="3"/>
        <v/>
      </c>
      <c r="AB31" s="129" t="str">
        <f t="shared" ref="AB31:AB33" si="25">IFERROR(IF(AND(Q30="Impacto",Q31="Impacto"),(AB30-(+AB30*T31)),IF(AND(Q30="Probabilidad",Q31="Impacto"),(AB29-(+AB29*T31)),IF(Q31="Probabilidad",AB30,""))),"")</f>
        <v/>
      </c>
      <c r="AC31" s="130"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1"/>
      <c r="AE31" s="210"/>
      <c r="AF31" s="211" t="s">
        <v>213</v>
      </c>
      <c r="AG31" s="204"/>
      <c r="AH31" s="134"/>
      <c r="AI31" s="134"/>
      <c r="AJ31" s="166"/>
      <c r="AK31" s="133"/>
      <c r="AL31" s="232"/>
      <c r="AM31" s="231"/>
      <c r="AN31" s="237"/>
      <c r="AO31" s="238"/>
      <c r="AP31" s="235"/>
      <c r="AQ31" s="235"/>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51.5" hidden="1" customHeight="1" x14ac:dyDescent="0.3">
      <c r="A32" s="319"/>
      <c r="B32" s="304"/>
      <c r="C32" s="304"/>
      <c r="D32" s="304"/>
      <c r="E32" s="327"/>
      <c r="F32" s="304"/>
      <c r="G32" s="307"/>
      <c r="H32" s="280"/>
      <c r="I32" s="283"/>
      <c r="J32" s="310"/>
      <c r="K32" s="283">
        <f ca="1">IF(NOT(ISERROR(MATCH(J32,_xlfn.ANCHORARRAY(E40),0))),I42&amp;"Por favor no seleccionar los criterios de impacto",J32)</f>
        <v>0</v>
      </c>
      <c r="L32" s="280"/>
      <c r="M32" s="283"/>
      <c r="N32" s="293"/>
      <c r="O32" s="6">
        <v>5</v>
      </c>
      <c r="P32" s="123"/>
      <c r="Q32" s="124" t="str">
        <f t="shared" si="21"/>
        <v/>
      </c>
      <c r="R32" s="125"/>
      <c r="S32" s="125"/>
      <c r="T32" s="126" t="str">
        <f t="shared" si="22"/>
        <v/>
      </c>
      <c r="U32" s="125"/>
      <c r="V32" s="125"/>
      <c r="W32" s="125"/>
      <c r="X32" s="136" t="str">
        <f t="shared" si="23"/>
        <v/>
      </c>
      <c r="Y32" s="128" t="str">
        <f>IFERROR(IF(X32="","",IF(X32&lt;=0.2,"Muy Baja",IF(X32&lt;=0.4,"Baja",IF(X32&lt;=0.6,"Media",IF(X32&lt;=0.8,"Alta","Muy Alta"))))),"")</f>
        <v/>
      </c>
      <c r="Z32" s="129" t="str">
        <f t="shared" si="24"/>
        <v/>
      </c>
      <c r="AA32" s="128" t="str">
        <f t="shared" si="3"/>
        <v/>
      </c>
      <c r="AB32" s="129" t="str">
        <f t="shared" si="25"/>
        <v/>
      </c>
      <c r="AC32" s="130" t="str">
        <f t="shared" ref="AC32:AC33" si="26">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1"/>
      <c r="AE32" s="210"/>
      <c r="AF32" s="211" t="s">
        <v>213</v>
      </c>
      <c r="AG32" s="204"/>
      <c r="AH32" s="134"/>
      <c r="AI32" s="134"/>
      <c r="AJ32" s="166"/>
      <c r="AK32" s="133"/>
      <c r="AL32" s="232"/>
      <c r="AM32" s="231"/>
      <c r="AN32" s="237"/>
      <c r="AO32" s="238"/>
      <c r="AP32" s="235"/>
      <c r="AQ32" s="235"/>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51.5" hidden="1" customHeight="1" x14ac:dyDescent="0.3">
      <c r="A33" s="320"/>
      <c r="B33" s="305"/>
      <c r="C33" s="305"/>
      <c r="D33" s="305"/>
      <c r="E33" s="328"/>
      <c r="F33" s="305"/>
      <c r="G33" s="308"/>
      <c r="H33" s="281"/>
      <c r="I33" s="284"/>
      <c r="J33" s="311"/>
      <c r="K33" s="284">
        <f ca="1">IF(NOT(ISERROR(MATCH(J33,_xlfn.ANCHORARRAY(E41),0))),I43&amp;"Por favor no seleccionar los criterios de impacto",J33)</f>
        <v>0</v>
      </c>
      <c r="L33" s="281"/>
      <c r="M33" s="284"/>
      <c r="N33" s="294"/>
      <c r="O33" s="6">
        <v>6</v>
      </c>
      <c r="P33" s="123"/>
      <c r="Q33" s="124" t="str">
        <f t="shared" si="21"/>
        <v/>
      </c>
      <c r="R33" s="125"/>
      <c r="S33" s="125"/>
      <c r="T33" s="126" t="str">
        <f t="shared" si="22"/>
        <v/>
      </c>
      <c r="U33" s="125"/>
      <c r="V33" s="125"/>
      <c r="W33" s="125"/>
      <c r="X33" s="127" t="str">
        <f t="shared" si="23"/>
        <v/>
      </c>
      <c r="Y33" s="128" t="str">
        <f t="shared" si="1"/>
        <v/>
      </c>
      <c r="Z33" s="129" t="str">
        <f t="shared" si="24"/>
        <v/>
      </c>
      <c r="AA33" s="128" t="str">
        <f t="shared" si="3"/>
        <v/>
      </c>
      <c r="AB33" s="129" t="str">
        <f t="shared" si="25"/>
        <v/>
      </c>
      <c r="AC33" s="130" t="str">
        <f t="shared" si="26"/>
        <v/>
      </c>
      <c r="AD33" s="131"/>
      <c r="AE33" s="210"/>
      <c r="AF33" s="211" t="s">
        <v>213</v>
      </c>
      <c r="AG33" s="204"/>
      <c r="AH33" s="134"/>
      <c r="AI33" s="134"/>
      <c r="AJ33" s="166"/>
      <c r="AK33" s="133"/>
      <c r="AL33" s="232"/>
      <c r="AM33" s="231"/>
      <c r="AN33" s="237"/>
      <c r="AO33" s="238"/>
      <c r="AP33" s="235"/>
      <c r="AQ33" s="235"/>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s="197" customFormat="1" ht="78" hidden="1" customHeight="1" x14ac:dyDescent="0.3">
      <c r="A34" s="318">
        <v>5</v>
      </c>
      <c r="B34" s="324" t="s">
        <v>132</v>
      </c>
      <c r="C34" s="324" t="s">
        <v>236</v>
      </c>
      <c r="D34" s="324" t="s">
        <v>223</v>
      </c>
      <c r="E34" s="324" t="s">
        <v>224</v>
      </c>
      <c r="F34" s="335" t="s">
        <v>122</v>
      </c>
      <c r="G34" s="306">
        <v>100</v>
      </c>
      <c r="H34" s="279" t="str">
        <f>IF(G34&lt;=0,"",IF(G34&lt;=2,"Muy Baja",IF(G34&lt;=24,"Baja",IF(G34&lt;=500,"Media",IF(G34&lt;=5000,"Alta","Muy Alta")))))</f>
        <v>Media</v>
      </c>
      <c r="I34" s="282">
        <f>IF(H34="","",IF(H34="Muy Baja",0.2,IF(H34="Baja",0.4,IF(H34="Media",0.6,IF(H34="Alta",0.8,IF(H34="Muy Alta",1,))))))</f>
        <v>0.6</v>
      </c>
      <c r="J34" s="309" t="s">
        <v>154</v>
      </c>
      <c r="K34" s="282" t="str">
        <f ca="1">IF(NOT(ISERROR(MATCH(J34,'Tabla Impacto'!$B$221:$B$223,0))),'Tabla Impacto'!$F$223&amp;"Por favor no seleccionar los criterios de impacto(Afectación Económica o presupuestal y Pérdida Reputacional)",J34)</f>
        <v xml:space="preserve">     El riesgo afecta la imagen de la entidad a nivel nacional, con efecto publicitarios sostenible a nivel país</v>
      </c>
      <c r="L34" s="279" t="str">
        <f ca="1">IF(OR(K34='Tabla Impacto'!$C$11,K34='Tabla Impacto'!$D$11),"Leve",IF(OR(K34='Tabla Impacto'!$C$12,K34='Tabla Impacto'!$D$12),"Menor",IF(OR(K34='Tabla Impacto'!$C$13,K34='Tabla Impacto'!$D$13),"Moderado",IF(OR(K34='Tabla Impacto'!$C$14,K34='Tabla Impacto'!$D$14),"Mayor",IF(OR(K34='Tabla Impacto'!$C$15,K34='Tabla Impacto'!$D$15),"Catastrófico","")))))</f>
        <v>Catastrófico</v>
      </c>
      <c r="M34" s="282">
        <f ca="1">IF(L34="","",IF(L34="Leve",0.2,IF(L34="Menor",0.4,IF(L34="Moderado",0.6,IF(L34="Mayor",0.8,IF(L34="Catastrófico",1,))))))</f>
        <v>1</v>
      </c>
      <c r="N34" s="292"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Extremo</v>
      </c>
      <c r="O34" s="184">
        <v>1</v>
      </c>
      <c r="P34" s="216" t="s">
        <v>266</v>
      </c>
      <c r="Q34" s="185" t="str">
        <f>IF(OR(R34="Preventivo",R34="Detectivo"),"Probabilidad",IF(R34="Correctivo","Impacto",""))</f>
        <v>Probabilidad</v>
      </c>
      <c r="R34" s="186" t="s">
        <v>14</v>
      </c>
      <c r="S34" s="186" t="s">
        <v>10</v>
      </c>
      <c r="T34" s="187" t="str">
        <f>IF(AND(R34="Preventivo",S34="Automático"),"50%",IF(AND(R34="Preventivo",S34="Manual"),"40%",IF(AND(R34="Detectivo",S34="Automático"),"40%",IF(AND(R34="Detectivo",S34="Manual"),"30%",IF(AND(R34="Correctivo",S34="Automático"),"35%",IF(AND(R34="Correctivo",S34="Manual"),"25%",""))))))</f>
        <v>50%</v>
      </c>
      <c r="U34" s="186" t="s">
        <v>19</v>
      </c>
      <c r="V34" s="186" t="s">
        <v>22</v>
      </c>
      <c r="W34" s="186" t="s">
        <v>118</v>
      </c>
      <c r="X34" s="188">
        <f>IFERROR(IF(Q34="Probabilidad",(I34-(+I34*T34)),IF(Q34="Impacto",I34,"")),"")</f>
        <v>0.3</v>
      </c>
      <c r="Y34" s="189" t="str">
        <f>IFERROR(IF(X34="","",IF(X34&lt;=0.2,"Muy Baja",IF(X34&lt;=0.4,"Baja",IF(X34&lt;=0.6,"Media",IF(X34&lt;=0.8,"Alta","Muy Alta"))))),"")</f>
        <v>Baja</v>
      </c>
      <c r="Z34" s="190">
        <f>+X34</f>
        <v>0.3</v>
      </c>
      <c r="AA34" s="189" t="str">
        <f ca="1">IFERROR(IF(AB34="","",IF(AB34&lt;=0.2,"Leve",IF(AB34&lt;=0.4,"Menor",IF(AB34&lt;=0.6,"Moderado",IF(AB34&lt;=0.8,"Mayor","Catastrófico"))))),"")</f>
        <v>Catastrófico</v>
      </c>
      <c r="AB34" s="190">
        <f ca="1">IFERROR(IF(Q34="Impacto",(M34-(+M34*T34)),IF(Q34="Probabilidad",M34,"")),"")</f>
        <v>1</v>
      </c>
      <c r="AC34" s="19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Extremo</v>
      </c>
      <c r="AD34" s="192" t="s">
        <v>134</v>
      </c>
      <c r="AE34" s="230" t="s">
        <v>266</v>
      </c>
      <c r="AF34" s="212" t="s">
        <v>213</v>
      </c>
      <c r="AG34" s="205" t="s">
        <v>214</v>
      </c>
      <c r="AH34" s="193" t="s">
        <v>251</v>
      </c>
      <c r="AI34" s="193" t="s">
        <v>252</v>
      </c>
      <c r="AJ34" s="194"/>
      <c r="AK34" s="195" t="s">
        <v>40</v>
      </c>
      <c r="AL34" s="232"/>
      <c r="AM34" s="231"/>
      <c r="AN34" s="237"/>
      <c r="AO34" s="238"/>
      <c r="AP34" s="235"/>
      <c r="AQ34" s="235"/>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row>
    <row r="35" spans="1:69" ht="151.5" hidden="1" customHeight="1" x14ac:dyDescent="0.3">
      <c r="A35" s="319"/>
      <c r="B35" s="325"/>
      <c r="C35" s="325"/>
      <c r="D35" s="325"/>
      <c r="E35" s="325"/>
      <c r="F35" s="336"/>
      <c r="G35" s="307"/>
      <c r="H35" s="280"/>
      <c r="I35" s="283"/>
      <c r="J35" s="310"/>
      <c r="K35" s="283">
        <f ca="1">IF(NOT(ISERROR(MATCH(J35,_xlfn.ANCHORARRAY(E46),0))),I48&amp;"Por favor no seleccionar los criterios de impacto",J35)</f>
        <v>0</v>
      </c>
      <c r="L35" s="280"/>
      <c r="M35" s="283"/>
      <c r="N35" s="293"/>
      <c r="O35" s="6">
        <v>5</v>
      </c>
      <c r="P35" s="123"/>
      <c r="Q35" s="124" t="str">
        <f t="shared" ref="Q35:Q36" si="27">IF(OR(R35="Preventivo",R35="Detectivo"),"Probabilidad",IF(R35="Correctivo","Impacto",""))</f>
        <v/>
      </c>
      <c r="R35" s="125"/>
      <c r="S35" s="125"/>
      <c r="T35" s="126" t="str">
        <f t="shared" ref="T35:T36" si="28">IF(AND(R35="Preventivo",S35="Automático"),"50%",IF(AND(R35="Preventivo",S35="Manual"),"40%",IF(AND(R35="Detectivo",S35="Automático"),"40%",IF(AND(R35="Detectivo",S35="Manual"),"30%",IF(AND(R35="Correctivo",S35="Automático"),"35%",IF(AND(R35="Correctivo",S35="Manual"),"25%",""))))))</f>
        <v/>
      </c>
      <c r="U35" s="125"/>
      <c r="V35" s="125"/>
      <c r="W35" s="125"/>
      <c r="X35" s="127" t="str">
        <f>IFERROR(IF(AND(#REF!="Probabilidad",Q35="Probabilidad"),(#REF!-(+#REF!*T35)),IF(AND(#REF!="Impacto",Q35="Probabilidad"),(#REF!-(+#REF!*T35)),IF(Q35="Impacto",#REF!,""))),"")</f>
        <v/>
      </c>
      <c r="Y35" s="128" t="str">
        <f t="shared" si="1"/>
        <v/>
      </c>
      <c r="Z35" s="129" t="str">
        <f t="shared" ref="Z35:Z36" si="29">+X35</f>
        <v/>
      </c>
      <c r="AA35" s="128" t="str">
        <f t="shared" si="3"/>
        <v/>
      </c>
      <c r="AB35" s="129" t="str">
        <f>IFERROR(IF(AND(#REF!="Impacto",Q35="Impacto"),(#REF!-(+#REF!*T35)),IF(AND(#REF!="Probabilidad",Q35="Impacto"),(#REF!-(+#REF!*T35)),IF(Q35="Probabilidad",#REF!,""))),"")</f>
        <v/>
      </c>
      <c r="AC35" s="130" t="str">
        <f t="shared" ref="AC35:AC36" si="30">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1"/>
      <c r="AE35" s="210"/>
      <c r="AF35" s="213"/>
      <c r="AG35" s="204"/>
      <c r="AH35" s="134"/>
      <c r="AI35" s="134"/>
      <c r="AJ35" s="166"/>
      <c r="AK35" s="133"/>
      <c r="AL35" s="232"/>
      <c r="AM35" s="231"/>
      <c r="AN35" s="237"/>
      <c r="AO35" s="238"/>
      <c r="AP35" s="235"/>
      <c r="AQ35" s="235"/>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9" hidden="1" customHeight="1" x14ac:dyDescent="0.3">
      <c r="A36" s="320"/>
      <c r="B36" s="326"/>
      <c r="C36" s="326"/>
      <c r="D36" s="326"/>
      <c r="E36" s="326"/>
      <c r="F36" s="337"/>
      <c r="G36" s="308"/>
      <c r="H36" s="281"/>
      <c r="I36" s="284"/>
      <c r="J36" s="311"/>
      <c r="K36" s="284">
        <f ca="1">IF(NOT(ISERROR(MATCH(J36,_xlfn.ANCHORARRAY(E47),0))),I49&amp;"Por favor no seleccionar los criterios de impacto",J36)</f>
        <v>0</v>
      </c>
      <c r="L36" s="281"/>
      <c r="M36" s="284"/>
      <c r="N36" s="294"/>
      <c r="O36" s="6">
        <v>6</v>
      </c>
      <c r="P36" s="123"/>
      <c r="Q36" s="124" t="str">
        <f t="shared" si="27"/>
        <v/>
      </c>
      <c r="R36" s="125"/>
      <c r="S36" s="125"/>
      <c r="T36" s="126" t="str">
        <f t="shared" si="28"/>
        <v/>
      </c>
      <c r="U36" s="125"/>
      <c r="V36" s="125"/>
      <c r="W36" s="125"/>
      <c r="X36" s="127" t="str">
        <f>IFERROR(IF(AND(Q35="Probabilidad",Q36="Probabilidad"),(Z35-(+Z35*T36)),IF(AND(Q35="Impacto",Q36="Probabilidad"),(#REF!-(+#REF!*T36)),IF(Q36="Impacto",Z35,""))),"")</f>
        <v/>
      </c>
      <c r="Y36" s="128" t="str">
        <f t="shared" si="1"/>
        <v/>
      </c>
      <c r="Z36" s="129" t="str">
        <f t="shared" si="29"/>
        <v/>
      </c>
      <c r="AA36" s="128" t="str">
        <f t="shared" si="3"/>
        <v/>
      </c>
      <c r="AB36" s="129" t="str">
        <f>IFERROR(IF(AND(Q35="Impacto",Q36="Impacto"),(AB35-(+AB35*T36)),IF(AND(Q35="Probabilidad",Q36="Impacto"),(#REF!-(+#REF!*T36)),IF(Q36="Probabilidad",AB35,""))),"")</f>
        <v/>
      </c>
      <c r="AC36" s="130" t="str">
        <f t="shared" si="30"/>
        <v/>
      </c>
      <c r="AD36" s="131"/>
      <c r="AE36" s="210"/>
      <c r="AF36" s="213"/>
      <c r="AG36" s="204"/>
      <c r="AH36" s="134"/>
      <c r="AI36" s="134"/>
      <c r="AJ36" s="166"/>
      <c r="AK36" s="133"/>
      <c r="AL36" s="232"/>
      <c r="AM36" s="231"/>
      <c r="AN36" s="237"/>
      <c r="AO36" s="238"/>
      <c r="AP36" s="235"/>
      <c r="AQ36" s="235"/>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s="171" customFormat="1" ht="180.75" customHeight="1" x14ac:dyDescent="0.3">
      <c r="A37" s="318">
        <v>4</v>
      </c>
      <c r="B37" s="303" t="s">
        <v>132</v>
      </c>
      <c r="C37" s="303" t="s">
        <v>237</v>
      </c>
      <c r="D37" s="329" t="s">
        <v>241</v>
      </c>
      <c r="E37" s="332" t="s">
        <v>267</v>
      </c>
      <c r="F37" s="329" t="s">
        <v>122</v>
      </c>
      <c r="G37" s="306">
        <v>100</v>
      </c>
      <c r="H37" s="279" t="str">
        <f>IF(G37&lt;=0,"",IF(G37&lt;=2,"Muy Baja",IF(G37&lt;=24,"Baja",IF(G37&lt;=500,"Media",IF(G37&lt;=5000,"Alta","Muy Alta")))))</f>
        <v>Media</v>
      </c>
      <c r="I37" s="282">
        <f>IF(H37="","",IF(H37="Muy Baja",0.2,IF(H37="Baja",0.4,IF(H37="Media",0.6,IF(H37="Alta",0.8,IF(H37="Muy Alta",1,))))))</f>
        <v>0.6</v>
      </c>
      <c r="J37" s="309" t="s">
        <v>152</v>
      </c>
      <c r="K37" s="299" t="str">
        <f ca="1">IF(NOT(ISERROR(MATCH(J37,'Tabla Impacto'!$B$221:$B$223,0))),'Tabla Impacto'!$F$223&amp;"Por favor no seleccionar los criterios de impacto(Afectación Económica o presupuestal y Pérdida Reputacional)",J37)</f>
        <v xml:space="preserve">     El riesgo afecta la imagen de la entidad con algunos usuarios de relevancia frente al logro de los objetivos</v>
      </c>
      <c r="L37" s="279" t="str">
        <f ca="1">IF(OR(K37='Tabla Impacto'!$C$11,K37='Tabla Impacto'!$D$11),"Leve",IF(OR(K37='Tabla Impacto'!$C$12,K37='Tabla Impacto'!$D$12),"Menor",IF(OR(K37='Tabla Impacto'!$C$13,K37='Tabla Impacto'!$D$13),"Moderado",IF(OR(K37='Tabla Impacto'!$C$14,K37='Tabla Impacto'!$D$14),"Mayor",IF(OR(K37='Tabla Impacto'!$C$15,K37='Tabla Impacto'!$D$15),"Catastrófico","")))))</f>
        <v>Moderado</v>
      </c>
      <c r="M37" s="282">
        <f ca="1">IF(L37="","",IF(L37="Leve",0.2,IF(L37="Menor",0.4,IF(L37="Moderado",0.6,IF(L37="Mayor",0.8,IF(L37="Catastrófico",1,))))))</f>
        <v>0.6</v>
      </c>
      <c r="N37" s="292" t="str">
        <f ca="1">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Moderado</v>
      </c>
      <c r="O37" s="169">
        <v>1</v>
      </c>
      <c r="P37" s="209" t="s">
        <v>268</v>
      </c>
      <c r="Q37" s="137" t="str">
        <f>IF(OR(R37="Preventivo",R37="Detectivo"),"Probabilidad",IF(R37="Correctivo","Impacto",""))</f>
        <v>Probabilidad</v>
      </c>
      <c r="R37" s="138" t="s">
        <v>14</v>
      </c>
      <c r="S37" s="138" t="s">
        <v>10</v>
      </c>
      <c r="T37" s="139" t="str">
        <f>IF(AND(R37="Preventivo",S37="Automático"),"50%",IF(AND(R37="Preventivo",S37="Manual"),"40%",IF(AND(R37="Detectivo",S37="Automático"),"40%",IF(AND(R37="Detectivo",S37="Manual"),"30%",IF(AND(R37="Correctivo",S37="Automático"),"35%",IF(AND(R37="Correctivo",S37="Manual"),"25%",""))))))</f>
        <v>50%</v>
      </c>
      <c r="U37" s="138" t="s">
        <v>19</v>
      </c>
      <c r="V37" s="138" t="s">
        <v>22</v>
      </c>
      <c r="W37" s="138" t="s">
        <v>118</v>
      </c>
      <c r="X37" s="140">
        <f>IFERROR(IF(Q37="Probabilidad",(I37-(+I37*T37)),IF(Q37="Impacto",I37,"")),"")</f>
        <v>0.3</v>
      </c>
      <c r="Y37" s="141" t="str">
        <f>IFERROR(IF(X37="","",IF(X37&lt;=0.2,"Muy Baja",IF(X37&lt;=0.4,"Baja",IF(X37&lt;=0.6,"Media",IF(X37&lt;=0.8,"Alta","Muy Alta"))))),"")</f>
        <v>Baja</v>
      </c>
      <c r="Z37" s="142">
        <f>+X37</f>
        <v>0.3</v>
      </c>
      <c r="AA37" s="141" t="str">
        <f ca="1">IFERROR(IF(AB37="","",IF(AB37&lt;=0.2,"Leve",IF(AB37&lt;=0.4,"Menor",IF(AB37&lt;=0.6,"Moderado",IF(AB37&lt;=0.8,"Mayor","Catastrófico"))))),"")</f>
        <v>Moderado</v>
      </c>
      <c r="AB37" s="142">
        <f ca="1">IFERROR(IF(Q37="Impacto",(M37-(+M37*T37)),IF(Q37="Probabilidad",M37,"")),"")</f>
        <v>0.6</v>
      </c>
      <c r="AC37" s="143" t="str">
        <f ca="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Moderado</v>
      </c>
      <c r="AD37" s="144" t="s">
        <v>134</v>
      </c>
      <c r="AE37" s="211" t="s">
        <v>269</v>
      </c>
      <c r="AF37" s="214" t="s">
        <v>213</v>
      </c>
      <c r="AG37" s="207" t="s">
        <v>214</v>
      </c>
      <c r="AH37" s="208" t="s">
        <v>251</v>
      </c>
      <c r="AI37" s="208" t="s">
        <v>252</v>
      </c>
      <c r="AJ37" s="233" t="s">
        <v>293</v>
      </c>
      <c r="AK37" s="229" t="s">
        <v>40</v>
      </c>
      <c r="AL37" s="232">
        <v>1</v>
      </c>
      <c r="AM37" s="231" t="s">
        <v>283</v>
      </c>
      <c r="AN37" s="237" t="s">
        <v>284</v>
      </c>
      <c r="AO37" s="238">
        <v>1</v>
      </c>
      <c r="AP37" s="235" t="s">
        <v>298</v>
      </c>
      <c r="AQ37" s="235" t="s">
        <v>299</v>
      </c>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row>
    <row r="38" spans="1:69" ht="18" hidden="1" customHeight="1" x14ac:dyDescent="0.3">
      <c r="A38" s="319"/>
      <c r="B38" s="304"/>
      <c r="C38" s="304"/>
      <c r="D38" s="330"/>
      <c r="E38" s="333"/>
      <c r="F38" s="330"/>
      <c r="G38" s="307"/>
      <c r="H38" s="280"/>
      <c r="I38" s="283"/>
      <c r="J38" s="310"/>
      <c r="K38" s="300">
        <f ca="1">IF(NOT(ISERROR(MATCH(J38,_xlfn.ANCHORARRAY(E49),0))),I51&amp;"Por favor no seleccionar los criterios de impacto",J38)</f>
        <v>0</v>
      </c>
      <c r="L38" s="280"/>
      <c r="M38" s="283"/>
      <c r="N38" s="293"/>
      <c r="O38" s="6">
        <v>2</v>
      </c>
      <c r="P38" s="148"/>
      <c r="Q38" s="137"/>
      <c r="R38" s="138"/>
      <c r="S38" s="138"/>
      <c r="T38" s="139"/>
      <c r="U38" s="138"/>
      <c r="V38" s="138"/>
      <c r="W38" s="138"/>
      <c r="X38" s="140"/>
      <c r="Y38" s="141"/>
      <c r="Z38" s="142"/>
      <c r="AA38" s="141"/>
      <c r="AB38" s="142"/>
      <c r="AC38" s="143"/>
      <c r="AD38" s="144"/>
      <c r="AE38" s="210"/>
      <c r="AF38" s="211"/>
      <c r="AG38" s="200"/>
      <c r="AH38" s="146"/>
      <c r="AI38" s="146"/>
      <c r="AJ38" s="166"/>
      <c r="AK38" s="147"/>
      <c r="AL38" s="232"/>
      <c r="AM38" s="231"/>
      <c r="AN38" s="237"/>
      <c r="AO38" s="238"/>
      <c r="AP38" s="235"/>
      <c r="AQ38" s="235"/>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hidden="1" customHeight="1" x14ac:dyDescent="0.3">
      <c r="A39" s="319"/>
      <c r="B39" s="304"/>
      <c r="C39" s="304"/>
      <c r="D39" s="330"/>
      <c r="E39" s="333"/>
      <c r="F39" s="330"/>
      <c r="G39" s="307"/>
      <c r="H39" s="280"/>
      <c r="I39" s="283"/>
      <c r="J39" s="310"/>
      <c r="K39" s="300">
        <f ca="1">IF(NOT(ISERROR(MATCH(J39,_xlfn.ANCHORARRAY(E50),0))),I52&amp;"Por favor no seleccionar los criterios de impacto",J39)</f>
        <v>0</v>
      </c>
      <c r="L39" s="280"/>
      <c r="M39" s="283"/>
      <c r="N39" s="293"/>
      <c r="O39" s="6">
        <v>3</v>
      </c>
      <c r="P39" s="145"/>
      <c r="Q39" s="137"/>
      <c r="R39" s="138"/>
      <c r="S39" s="138"/>
      <c r="T39" s="139"/>
      <c r="U39" s="138"/>
      <c r="V39" s="138"/>
      <c r="W39" s="138"/>
      <c r="X39" s="140"/>
      <c r="Y39" s="141"/>
      <c r="Z39" s="142"/>
      <c r="AA39" s="141"/>
      <c r="AB39" s="142"/>
      <c r="AC39" s="143"/>
      <c r="AD39" s="144"/>
      <c r="AE39" s="210"/>
      <c r="AF39" s="211"/>
      <c r="AG39" s="200"/>
      <c r="AH39" s="146"/>
      <c r="AI39" s="146"/>
      <c r="AJ39" s="166"/>
      <c r="AK39" s="147"/>
      <c r="AL39" s="232"/>
      <c r="AM39" s="231"/>
      <c r="AN39" s="237"/>
      <c r="AO39" s="238"/>
      <c r="AP39" s="235"/>
      <c r="AQ39" s="235"/>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hidden="1" customHeight="1" x14ac:dyDescent="0.3">
      <c r="A40" s="319"/>
      <c r="B40" s="304"/>
      <c r="C40" s="304"/>
      <c r="D40" s="330"/>
      <c r="E40" s="333"/>
      <c r="F40" s="330"/>
      <c r="G40" s="307"/>
      <c r="H40" s="280"/>
      <c r="I40" s="283"/>
      <c r="J40" s="310"/>
      <c r="K40" s="300">
        <f ca="1">IF(NOT(ISERROR(MATCH(J40,_xlfn.ANCHORARRAY(E51),0))),I53&amp;"Por favor no seleccionar los criterios de impacto",J40)</f>
        <v>0</v>
      </c>
      <c r="L40" s="280"/>
      <c r="M40" s="283"/>
      <c r="N40" s="293"/>
      <c r="O40" s="122">
        <v>4</v>
      </c>
      <c r="P40" s="123"/>
      <c r="Q40" s="124" t="str">
        <f t="shared" ref="Q40:Q42" si="31">IF(OR(R40="Preventivo",R40="Detectivo"),"Probabilidad",IF(R40="Correctivo","Impacto",""))</f>
        <v/>
      </c>
      <c r="R40" s="125"/>
      <c r="S40" s="125"/>
      <c r="T40" s="126" t="str">
        <f t="shared" ref="T40:T42" si="32">IF(AND(R40="Preventivo",S40="Automático"),"50%",IF(AND(R40="Preventivo",S40="Manual"),"40%",IF(AND(R40="Detectivo",S40="Automático"),"40%",IF(AND(R40="Detectivo",S40="Manual"),"30%",IF(AND(R40="Correctivo",S40="Automático"),"35%",IF(AND(R40="Correctivo",S40="Manual"),"25%",""))))))</f>
        <v/>
      </c>
      <c r="U40" s="125"/>
      <c r="V40" s="125"/>
      <c r="W40" s="125"/>
      <c r="X40" s="127" t="str">
        <f t="shared" ref="X40:X42" si="33">IFERROR(IF(AND(Q39="Probabilidad",Q40="Probabilidad"),(Z39-(+Z39*T40)),IF(AND(Q39="Impacto",Q40="Probabilidad"),(Z38-(+Z38*T40)),IF(Q40="Impacto",Z39,""))),"")</f>
        <v/>
      </c>
      <c r="Y40" s="128" t="str">
        <f t="shared" si="1"/>
        <v/>
      </c>
      <c r="Z40" s="129" t="str">
        <f t="shared" ref="Z40:Z42" si="34">+X40</f>
        <v/>
      </c>
      <c r="AA40" s="128" t="str">
        <f t="shared" si="3"/>
        <v/>
      </c>
      <c r="AB40" s="129" t="str">
        <f t="shared" ref="AB40:AB42" si="35">IFERROR(IF(AND(Q39="Impacto",Q40="Impacto"),(AB39-(+AB39*T40)),IF(AND(Q39="Probabilidad",Q40="Impacto"),(AB38-(+AB38*T40)),IF(Q40="Probabilidad",AB39,""))),"")</f>
        <v/>
      </c>
      <c r="AC40" s="130"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1"/>
      <c r="AE40" s="210"/>
      <c r="AF40" s="213"/>
      <c r="AG40" s="206"/>
      <c r="AH40" s="134"/>
      <c r="AI40" s="134"/>
      <c r="AJ40" s="166"/>
      <c r="AK40" s="133"/>
      <c r="AL40" s="232"/>
      <c r="AM40" s="231"/>
      <c r="AN40" s="237"/>
      <c r="AO40" s="238"/>
      <c r="AP40" s="235"/>
      <c r="AQ40" s="235"/>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hidden="1" customHeight="1" x14ac:dyDescent="0.3">
      <c r="A41" s="319"/>
      <c r="B41" s="304"/>
      <c r="C41" s="304"/>
      <c r="D41" s="330"/>
      <c r="E41" s="333"/>
      <c r="F41" s="330"/>
      <c r="G41" s="307"/>
      <c r="H41" s="280"/>
      <c r="I41" s="283"/>
      <c r="J41" s="310"/>
      <c r="K41" s="300">
        <f ca="1">IF(NOT(ISERROR(MATCH(J41,_xlfn.ANCHORARRAY(E52),0))),I54&amp;"Por favor no seleccionar los criterios de impacto",J41)</f>
        <v>0</v>
      </c>
      <c r="L41" s="280"/>
      <c r="M41" s="283"/>
      <c r="N41" s="293"/>
      <c r="O41" s="122">
        <v>5</v>
      </c>
      <c r="P41" s="123"/>
      <c r="Q41" s="124" t="str">
        <f t="shared" si="31"/>
        <v/>
      </c>
      <c r="R41" s="125"/>
      <c r="S41" s="125"/>
      <c r="T41" s="126" t="str">
        <f t="shared" si="32"/>
        <v/>
      </c>
      <c r="U41" s="125"/>
      <c r="V41" s="125"/>
      <c r="W41" s="125"/>
      <c r="X41" s="127" t="str">
        <f t="shared" si="33"/>
        <v/>
      </c>
      <c r="Y41" s="128" t="str">
        <f t="shared" si="1"/>
        <v/>
      </c>
      <c r="Z41" s="129" t="str">
        <f t="shared" si="34"/>
        <v/>
      </c>
      <c r="AA41" s="128" t="str">
        <f t="shared" si="3"/>
        <v/>
      </c>
      <c r="AB41" s="129" t="str">
        <f t="shared" si="35"/>
        <v/>
      </c>
      <c r="AC41" s="130" t="str">
        <f t="shared" ref="AC41" si="36">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1"/>
      <c r="AE41" s="210"/>
      <c r="AF41" s="213"/>
      <c r="AG41" s="206"/>
      <c r="AH41" s="134"/>
      <c r="AI41" s="134"/>
      <c r="AJ41" s="166"/>
      <c r="AK41" s="133"/>
      <c r="AL41" s="232"/>
      <c r="AM41" s="231"/>
      <c r="AN41" s="237"/>
      <c r="AO41" s="238"/>
      <c r="AP41" s="235"/>
      <c r="AQ41" s="235"/>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hidden="1" customHeight="1" x14ac:dyDescent="0.3">
      <c r="A42" s="320"/>
      <c r="B42" s="305"/>
      <c r="C42" s="305"/>
      <c r="D42" s="331"/>
      <c r="E42" s="334"/>
      <c r="F42" s="331"/>
      <c r="G42" s="308"/>
      <c r="H42" s="281"/>
      <c r="I42" s="284"/>
      <c r="J42" s="311"/>
      <c r="K42" s="301">
        <f ca="1">IF(NOT(ISERROR(MATCH(J42,_xlfn.ANCHORARRAY(E53),0))),I55&amp;"Por favor no seleccionar los criterios de impacto",J42)</f>
        <v>0</v>
      </c>
      <c r="L42" s="280"/>
      <c r="M42" s="284"/>
      <c r="N42" s="294"/>
      <c r="O42" s="122">
        <v>6</v>
      </c>
      <c r="P42" s="123"/>
      <c r="Q42" s="124" t="str">
        <f t="shared" si="31"/>
        <v/>
      </c>
      <c r="R42" s="125"/>
      <c r="S42" s="125"/>
      <c r="T42" s="126" t="str">
        <f t="shared" si="32"/>
        <v/>
      </c>
      <c r="U42" s="125"/>
      <c r="V42" s="125"/>
      <c r="W42" s="125"/>
      <c r="X42" s="127" t="str">
        <f t="shared" si="33"/>
        <v/>
      </c>
      <c r="Y42" s="128" t="str">
        <f t="shared" si="1"/>
        <v/>
      </c>
      <c r="Z42" s="129" t="str">
        <f t="shared" si="34"/>
        <v/>
      </c>
      <c r="AA42" s="128" t="str">
        <f>IFERROR(IF(AB42="","",IF(AB42&lt;=0.2,"Leve",IF(AB42&lt;=0.4,"Menor",IF(AB42&lt;=0.6,"Moderado",IF(AB42&lt;=0.8,"Mayor","Catastrófico"))))),"")</f>
        <v/>
      </c>
      <c r="AB42" s="129" t="str">
        <f t="shared" si="35"/>
        <v/>
      </c>
      <c r="AC42" s="130"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1"/>
      <c r="AE42" s="210"/>
      <c r="AF42" s="213"/>
      <c r="AG42" s="206"/>
      <c r="AH42" s="134"/>
      <c r="AI42" s="134"/>
      <c r="AJ42" s="166"/>
      <c r="AK42" s="133"/>
      <c r="AL42" s="232"/>
      <c r="AM42" s="231"/>
      <c r="AN42" s="237"/>
      <c r="AO42" s="238"/>
      <c r="AP42" s="235"/>
      <c r="AQ42" s="235"/>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409.5" customHeight="1" x14ac:dyDescent="0.3">
      <c r="A43" s="386">
        <v>5</v>
      </c>
      <c r="B43" s="329" t="s">
        <v>132</v>
      </c>
      <c r="C43" s="219" t="s">
        <v>270</v>
      </c>
      <c r="D43" s="219" t="s">
        <v>239</v>
      </c>
      <c r="E43" s="222" t="s">
        <v>249</v>
      </c>
      <c r="F43" s="219" t="s">
        <v>122</v>
      </c>
      <c r="G43" s="341">
        <v>100</v>
      </c>
      <c r="H43" s="279" t="str">
        <f>IF(G43&lt;=0,"",IF(G43&lt;=2,"Muy Baja",IF(G43&lt;=24,"Baja",IF(G43&lt;=500,"Media",IF(G43&lt;=5000,"Alta","Muy Alta")))))</f>
        <v>Media</v>
      </c>
      <c r="I43" s="299">
        <f>IF(H43="","",IF(H43="Muy Baja",0.2,IF(H43="Baja",0.4,IF(H43="Media",0.6,IF(H43="Alta",0.8,IF(H43="Muy Alta",1,))))))</f>
        <v>0.6</v>
      </c>
      <c r="J43" s="309" t="s">
        <v>152</v>
      </c>
      <c r="K43" s="165" t="str">
        <f ca="1">IF(NOT(ISERROR(MATCH(J43,'Tabla Impacto'!$B$221:$B$223,0))),'Tabla Impacto'!$F$223&amp;"Por favor no seleccionar los criterios de impacto(Afectación Económica o presupuestal y Pérdida Reputacional)",J43)</f>
        <v xml:space="preserve">     El riesgo afecta la imagen de la entidad con algunos usuarios de relevancia frente al logro de los objetivos</v>
      </c>
      <c r="L43" s="389" t="str">
        <f ca="1">IF(OR(K43='Tabla Impacto'!$C$11,K43='Tabla Impacto'!$D$11),"Leve",IF(OR(K43='Tabla Impacto'!$C$12,K43='Tabla Impacto'!$D$12),"Menor",IF(OR(K43='Tabla Impacto'!$C$13,K43='Tabla Impacto'!$D$13),"Moderado",IF(OR(K43='Tabla Impacto'!$C$14,K43='Tabla Impacto'!$D$14),"Mayor",IF(OR(K43='Tabla Impacto'!$C$15,K43='Tabla Impacto'!$D$15),"Catastrófico","")))))</f>
        <v>Moderado</v>
      </c>
      <c r="M43" s="390">
        <f ca="1">IF(L43="","",IF(L43="Leve",0.2,IF(L43="Menor",0.4,IF(L43="Moderado",0.6,IF(L43="Mayor",0.8,IF(L43="Catastrófico",1,))))))</f>
        <v>0.6</v>
      </c>
      <c r="N43" s="367" t="str">
        <f ca="1">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Moderado</v>
      </c>
      <c r="O43" s="122">
        <v>1</v>
      </c>
      <c r="P43" s="217" t="s">
        <v>254</v>
      </c>
      <c r="Q43" s="137" t="str">
        <f>IF(OR(R43="Preventivo",R43="Detectivo"),"Probabilidad",IF(R43="Correctivo","Impacto",""))</f>
        <v>Probabilidad</v>
      </c>
      <c r="R43" s="125" t="s">
        <v>14</v>
      </c>
      <c r="S43" s="125" t="s">
        <v>10</v>
      </c>
      <c r="T43" s="126" t="str">
        <f>IF(AND(R43="Preventivo",S43="Automático"),"50%",IF(AND(R43="Preventivo",S43="Manual"),"40%",IF(AND(R43="Detectivo",S43="Automático"),"40%",IF(AND(R43="Detectivo",S43="Manual"),"30%",IF(AND(R43="Correctivo",S43="Automático"),"35%",IF(AND(R43="Correctivo",S43="Manual"),"25%",""))))))</f>
        <v>50%</v>
      </c>
      <c r="U43" s="125" t="s">
        <v>19</v>
      </c>
      <c r="V43" s="125" t="s">
        <v>22</v>
      </c>
      <c r="W43" s="125" t="s">
        <v>118</v>
      </c>
      <c r="X43" s="127">
        <f>IFERROR(IF(Q43="Probabilidad",(I43-(+I43*T43)),IF(Q43="Impacto",I43,"")),"")</f>
        <v>0.3</v>
      </c>
      <c r="Y43" s="128" t="str">
        <f>IFERROR(IF(X43="","",IF(X43&lt;=0.2,"Muy Baja",IF(X43&lt;=0.4,"Baja",IF(X43&lt;=0.6,"Media",IF(X43&lt;=0.8,"Alta","Muy Alta"))))),"")</f>
        <v>Baja</v>
      </c>
      <c r="Z43" s="129">
        <f>+X43</f>
        <v>0.3</v>
      </c>
      <c r="AA43" s="128" t="str">
        <f ca="1">IFERROR(IF(AB43="","",IF(AB43&lt;=0.2,"Leve",IF(AB43&lt;=0.4,"Menor",IF(AB43&lt;=0.6,"Moderado",IF(AB43&lt;=0.8,"Mayor","Catastrófico"))))),"")</f>
        <v>Moderado</v>
      </c>
      <c r="AB43" s="129">
        <f ca="1">IFERROR(IF(Q43="Impacto",(M43-(+M43*T43)),IF(Q43="Probabilidad",M43,"")),"")</f>
        <v>0.6</v>
      </c>
      <c r="AC43" s="130" t="str">
        <f ca="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Moderado</v>
      </c>
      <c r="AD43" s="131" t="s">
        <v>134</v>
      </c>
      <c r="AE43" s="211" t="s">
        <v>256</v>
      </c>
      <c r="AF43" s="211" t="s">
        <v>213</v>
      </c>
      <c r="AG43" s="200" t="s">
        <v>214</v>
      </c>
      <c r="AH43" s="167" t="s">
        <v>251</v>
      </c>
      <c r="AI43" s="167" t="s">
        <v>252</v>
      </c>
      <c r="AJ43" s="166" t="s">
        <v>294</v>
      </c>
      <c r="AK43" s="147" t="s">
        <v>40</v>
      </c>
      <c r="AL43" s="232">
        <v>1</v>
      </c>
      <c r="AM43" s="231" t="s">
        <v>285</v>
      </c>
      <c r="AN43" s="237" t="s">
        <v>286</v>
      </c>
      <c r="AO43" s="238">
        <v>1</v>
      </c>
      <c r="AP43" s="235" t="s">
        <v>300</v>
      </c>
      <c r="AQ43" s="235" t="s">
        <v>301</v>
      </c>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hidden="1" customHeight="1" x14ac:dyDescent="0.3">
      <c r="A44" s="387"/>
      <c r="B44" s="331"/>
      <c r="C44" s="220"/>
      <c r="D44" s="225"/>
      <c r="E44" s="223"/>
      <c r="F44" s="220"/>
      <c r="G44" s="341"/>
      <c r="H44" s="279"/>
      <c r="I44" s="299"/>
      <c r="J44" s="309"/>
      <c r="K44" s="160">
        <f ca="1">IF(NOT(ISERROR(MATCH(J44,_xlfn.ANCHORARRAY(E55),0))),I57&amp;"Por favor no seleccionar los criterios de impacto",J44)</f>
        <v>0</v>
      </c>
      <c r="L44" s="389"/>
      <c r="M44" s="390"/>
      <c r="N44" s="367"/>
      <c r="O44" s="122">
        <v>2</v>
      </c>
      <c r="P44" s="148"/>
      <c r="Q44" s="124" t="str">
        <f>IF(OR(R44="Preventivo",R44="Detectivo"),"Probabilidad",IF(R44="Correctivo","Impacto",""))</f>
        <v/>
      </c>
      <c r="R44" s="125"/>
      <c r="S44" s="125"/>
      <c r="T44" s="126" t="str">
        <f t="shared" ref="T44:T54" si="37">IF(AND(R44="Preventivo",S44="Automático"),"50%",IF(AND(R44="Preventivo",S44="Manual"),"40%",IF(AND(R44="Detectivo",S44="Automático"),"40%",IF(AND(R44="Detectivo",S44="Manual"),"30%",IF(AND(R44="Correctivo",S44="Automático"),"35%",IF(AND(R44="Correctivo",S44="Manual"),"25%",""))))))</f>
        <v/>
      </c>
      <c r="U44" s="125"/>
      <c r="V44" s="125"/>
      <c r="W44" s="125"/>
      <c r="X44" s="127" t="str">
        <f>IFERROR(IF(AND(Q43="Probabilidad",Q44="Probabilidad"),(Z43-(+Z43*T44)),IF(Q44="Probabilidad",(I43-(+I43*T44)),IF(Q44="Impacto",Z43,""))),"")</f>
        <v/>
      </c>
      <c r="Y44" s="128" t="str">
        <f t="shared" si="1"/>
        <v/>
      </c>
      <c r="Z44" s="129" t="str">
        <f t="shared" ref="Z44:Z54" si="38">+X44</f>
        <v/>
      </c>
      <c r="AA44" s="128" t="str">
        <f t="shared" si="3"/>
        <v/>
      </c>
      <c r="AB44" s="129" t="str">
        <f>IFERROR(IF(AND(Q43="Impacto",Q44="Impacto"),(AB43-(+AB43*T44)),IF(Q44="Impacto",(M43-(+M43*T44)),IF(Q44="Probabilidad",AB43,""))),"")</f>
        <v/>
      </c>
      <c r="AC44" s="130" t="str">
        <f t="shared" ref="AC44:AC45" si="39">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1"/>
      <c r="AE44" s="213"/>
      <c r="AF44" s="213"/>
      <c r="AG44" s="206"/>
      <c r="AH44" s="146">
        <v>44927</v>
      </c>
      <c r="AI44" s="146">
        <v>45291</v>
      </c>
      <c r="AJ44" s="166"/>
      <c r="AK44" s="13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5.75" hidden="1" customHeight="1" x14ac:dyDescent="0.3">
      <c r="A45" s="388"/>
      <c r="B45" s="330"/>
      <c r="C45" s="220"/>
      <c r="D45" s="225"/>
      <c r="E45" s="223"/>
      <c r="F45" s="220"/>
      <c r="G45" s="226"/>
      <c r="H45" s="154"/>
      <c r="I45" s="157"/>
      <c r="J45" s="156"/>
      <c r="K45" s="160">
        <f t="shared" ref="K45:K48" ca="1" si="40">IF(NOT(ISERROR(MATCH(J45,_xlfn.ANCHORARRAY(E56),0))),I58&amp;"Por favor no seleccionar los criterios de impacto",J45)</f>
        <v>0</v>
      </c>
      <c r="L45" s="164"/>
      <c r="M45" s="162"/>
      <c r="N45" s="158"/>
      <c r="O45" s="122">
        <v>3</v>
      </c>
      <c r="P45" s="147"/>
      <c r="Q45" s="124" t="str">
        <f>IF(OR(R45="Preventivo",R45="Detectivo"),"Probabilidad",IF(R45="Correctivo","Impacto",""))</f>
        <v/>
      </c>
      <c r="R45" s="125"/>
      <c r="S45" s="125"/>
      <c r="T45" s="126" t="str">
        <f t="shared" si="37"/>
        <v/>
      </c>
      <c r="U45" s="125"/>
      <c r="V45" s="125"/>
      <c r="W45" s="125"/>
      <c r="X45" s="127" t="str">
        <f>IFERROR(IF(AND(Q44="Probabilidad",Q45="Probabilidad"),(Z44-(+Z44*T45)),IF(AND(Q44="Impacto",Q45="Probabilidad"),(Z43-(+Z43*T45)),IF(Q45="Impacto",Z44,""))),"")</f>
        <v/>
      </c>
      <c r="Y45" s="128" t="str">
        <f t="shared" si="1"/>
        <v/>
      </c>
      <c r="Z45" s="129" t="str">
        <f t="shared" si="38"/>
        <v/>
      </c>
      <c r="AA45" s="128" t="str">
        <f t="shared" si="3"/>
        <v/>
      </c>
      <c r="AB45" s="129" t="str">
        <f>IFERROR(IF(AND(Q44="Impacto",Q45="Impacto"),(AB44-(+AB44*T45)),IF(AND(Q44="Probabilidad",Q45="Impacto"),(AB43-(+AB43*T45)),IF(Q45="Probabilidad",AB44,""))),"")</f>
        <v/>
      </c>
      <c r="AC45" s="130" t="str">
        <f t="shared" si="39"/>
        <v/>
      </c>
      <c r="AD45" s="131"/>
      <c r="AE45" s="213"/>
      <c r="AF45" s="213"/>
      <c r="AG45" s="206"/>
      <c r="AH45" s="146">
        <v>44927</v>
      </c>
      <c r="AI45" s="146">
        <v>45291</v>
      </c>
      <c r="AJ45" s="166"/>
      <c r="AK45" s="13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hidden="1" x14ac:dyDescent="0.3">
      <c r="A46" s="388"/>
      <c r="B46" s="330"/>
      <c r="C46" s="220"/>
      <c r="D46" s="225"/>
      <c r="E46" s="223"/>
      <c r="F46" s="220"/>
      <c r="G46" s="226"/>
      <c r="H46" s="154"/>
      <c r="I46" s="157"/>
      <c r="J46" s="156"/>
      <c r="K46" s="160">
        <f t="shared" ca="1" si="40"/>
        <v>0</v>
      </c>
      <c r="L46" s="164"/>
      <c r="M46" s="162"/>
      <c r="N46" s="158"/>
      <c r="O46" s="122">
        <v>4</v>
      </c>
      <c r="P46" s="148"/>
      <c r="Q46" s="124" t="str">
        <f t="shared" ref="Q46:Q54" si="41">IF(OR(R46="Preventivo",R46="Detectivo"),"Probabilidad",IF(R46="Correctivo","Impacto",""))</f>
        <v/>
      </c>
      <c r="R46" s="125"/>
      <c r="S46" s="125"/>
      <c r="T46" s="126" t="str">
        <f t="shared" si="37"/>
        <v/>
      </c>
      <c r="U46" s="125"/>
      <c r="V46" s="125"/>
      <c r="W46" s="125"/>
      <c r="X46" s="127" t="str">
        <f t="shared" ref="X46:X48" si="42">IFERROR(IF(AND(Q45="Probabilidad",Q46="Probabilidad"),(Z45-(+Z45*T46)),IF(AND(Q45="Impacto",Q46="Probabilidad"),(Z44-(+Z44*T46)),IF(Q46="Impacto",Z45,""))),"")</f>
        <v/>
      </c>
      <c r="Y46" s="128" t="str">
        <f t="shared" si="1"/>
        <v/>
      </c>
      <c r="Z46" s="129" t="str">
        <f t="shared" si="38"/>
        <v/>
      </c>
      <c r="AA46" s="128" t="str">
        <f t="shared" si="3"/>
        <v/>
      </c>
      <c r="AB46" s="129" t="str">
        <f t="shared" ref="AB46:AB48" si="43">IFERROR(IF(AND(Q45="Impacto",Q46="Impacto"),(AB45-(+AB45*T46)),IF(AND(Q45="Probabilidad",Q46="Impacto"),(AB44-(+AB44*T46)),IF(Q46="Probabilidad",AB45,""))),"")</f>
        <v/>
      </c>
      <c r="AC46" s="130"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1"/>
      <c r="AE46" s="213"/>
      <c r="AF46" s="213"/>
      <c r="AG46" s="206"/>
      <c r="AH46" s="146">
        <v>44927</v>
      </c>
      <c r="AI46" s="146">
        <v>45291</v>
      </c>
      <c r="AJ46" s="166"/>
      <c r="AK46" s="13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hidden="1" x14ac:dyDescent="0.3">
      <c r="A47" s="388"/>
      <c r="B47" s="330"/>
      <c r="C47" s="220"/>
      <c r="D47" s="225"/>
      <c r="E47" s="223"/>
      <c r="F47" s="220"/>
      <c r="G47" s="226"/>
      <c r="H47" s="154"/>
      <c r="I47" s="157"/>
      <c r="J47" s="156"/>
      <c r="K47" s="160">
        <f t="shared" ca="1" si="40"/>
        <v>0</v>
      </c>
      <c r="L47" s="164"/>
      <c r="M47" s="162"/>
      <c r="N47" s="158"/>
      <c r="O47" s="122">
        <v>5</v>
      </c>
      <c r="P47" s="148"/>
      <c r="Q47" s="124" t="str">
        <f t="shared" si="41"/>
        <v/>
      </c>
      <c r="R47" s="125"/>
      <c r="S47" s="125"/>
      <c r="T47" s="126" t="str">
        <f t="shared" si="37"/>
        <v/>
      </c>
      <c r="U47" s="125"/>
      <c r="V47" s="125"/>
      <c r="W47" s="125"/>
      <c r="X47" s="127" t="str">
        <f t="shared" si="42"/>
        <v/>
      </c>
      <c r="Y47" s="128" t="str">
        <f t="shared" si="1"/>
        <v/>
      </c>
      <c r="Z47" s="129" t="str">
        <f t="shared" si="38"/>
        <v/>
      </c>
      <c r="AA47" s="128" t="str">
        <f t="shared" si="3"/>
        <v/>
      </c>
      <c r="AB47" s="129" t="str">
        <f t="shared" si="43"/>
        <v/>
      </c>
      <c r="AC47" s="130" t="str">
        <f t="shared" ref="AC47:AC54" si="44">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1"/>
      <c r="AE47" s="213"/>
      <c r="AF47" s="213"/>
      <c r="AG47" s="206"/>
      <c r="AH47" s="146">
        <v>44927</v>
      </c>
      <c r="AI47" s="146">
        <v>45291</v>
      </c>
      <c r="AJ47" s="166"/>
      <c r="AK47" s="13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hidden="1" x14ac:dyDescent="0.3">
      <c r="A48" s="387"/>
      <c r="B48" s="331"/>
      <c r="C48" s="221"/>
      <c r="D48" s="227"/>
      <c r="E48" s="224"/>
      <c r="F48" s="221"/>
      <c r="G48" s="228"/>
      <c r="H48" s="155"/>
      <c r="I48" s="153"/>
      <c r="J48" s="152"/>
      <c r="K48" s="161">
        <f t="shared" ca="1" si="40"/>
        <v>0</v>
      </c>
      <c r="L48" s="164"/>
      <c r="M48" s="163"/>
      <c r="N48" s="159"/>
      <c r="O48" s="122">
        <v>6</v>
      </c>
      <c r="P48" s="148"/>
      <c r="Q48" s="124" t="str">
        <f t="shared" si="41"/>
        <v/>
      </c>
      <c r="R48" s="125"/>
      <c r="S48" s="125"/>
      <c r="T48" s="126" t="str">
        <f t="shared" si="37"/>
        <v/>
      </c>
      <c r="U48" s="125"/>
      <c r="V48" s="125"/>
      <c r="W48" s="125"/>
      <c r="X48" s="127" t="str">
        <f t="shared" si="42"/>
        <v/>
      </c>
      <c r="Y48" s="128" t="str">
        <f t="shared" si="1"/>
        <v/>
      </c>
      <c r="Z48" s="129" t="str">
        <f t="shared" si="38"/>
        <v/>
      </c>
      <c r="AA48" s="128" t="str">
        <f t="shared" si="3"/>
        <v/>
      </c>
      <c r="AB48" s="129" t="str">
        <f t="shared" si="43"/>
        <v/>
      </c>
      <c r="AC48" s="130" t="str">
        <f t="shared" si="44"/>
        <v/>
      </c>
      <c r="AD48" s="131"/>
      <c r="AE48" s="213"/>
      <c r="AF48" s="213"/>
      <c r="AG48" s="206"/>
      <c r="AH48" s="146">
        <v>44927</v>
      </c>
      <c r="AI48" s="146">
        <v>45291</v>
      </c>
      <c r="AJ48" s="166"/>
      <c r="AK48" s="13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14.75" hidden="1" customHeight="1" x14ac:dyDescent="0.3">
      <c r="A49" s="383">
        <v>8</v>
      </c>
      <c r="B49" s="324" t="s">
        <v>132</v>
      </c>
      <c r="C49" s="324" t="s">
        <v>238</v>
      </c>
      <c r="D49" s="324" t="s">
        <v>240</v>
      </c>
      <c r="E49" s="324" t="s">
        <v>250</v>
      </c>
      <c r="F49" s="303" t="s">
        <v>122</v>
      </c>
      <c r="G49" s="306">
        <v>100</v>
      </c>
      <c r="H49" s="279" t="str">
        <f>IF(G49&lt;=0,"",IF(G49&lt;=2,"Muy Baja",IF(G49&lt;=24,"Baja",IF(G49&lt;=500,"Media",IF(G49&lt;=5000,"Alta","Muy Alta")))))</f>
        <v>Media</v>
      </c>
      <c r="I49" s="282">
        <f t="shared" ref="I49" si="45">IF(H49="","",IF(H49="Muy Baja",0.2,IF(H49="Baja",0.4,IF(H49="Media",0.6,IF(H49="Alta",0.8,IF(H49="Muy Alta",1,))))))</f>
        <v>0.6</v>
      </c>
      <c r="J49" s="309" t="s">
        <v>151</v>
      </c>
      <c r="K49" s="282" t="str">
        <f ca="1">IF(NOT(ISERROR(MATCH(J49,'Tabla Impacto'!$B$221:$B$223,0))),'Tabla Impacto'!$F$223&amp;"Por favor no seleccionar los criterios de impacto(Afectación Económica o presupuestal y Pérdida Reputacional)",J49)</f>
        <v xml:space="preserve">     El riesgo afecta la imagen de la entidad internamente, de conocimiento general, nivel interno, de junta dircetiva y accionistas y/o de provedores</v>
      </c>
      <c r="L49" s="280" t="str">
        <f ca="1">IF(OR(K49='Tabla Impacto'!$C$11,K49='Tabla Impacto'!$D$11),"Leve",IF(OR(K49='Tabla Impacto'!$C$12,K49='Tabla Impacto'!$D$12),"Menor",IF(OR(K49='Tabla Impacto'!$C$13,K49='Tabla Impacto'!$D$13),"Moderado",IF(OR(K49='Tabla Impacto'!$C$14,K49='Tabla Impacto'!$D$14),"Mayor",IF(OR(K49='Tabla Impacto'!$C$15,K49='Tabla Impacto'!$D$15),"Catastrófico","")))))</f>
        <v>Menor</v>
      </c>
      <c r="M49" s="282">
        <f t="shared" ref="M49" ca="1" si="46">IF(L49="","",IF(L49="Leve",0.2,IF(L49="Menor",0.4,IF(L49="Moderado",0.6,IF(L49="Mayor",0.8,IF(L49="Catastrófico",1,))))))</f>
        <v>0.4</v>
      </c>
      <c r="N49" s="292" t="str">
        <f t="shared" ref="N49" ca="1" si="47">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Moderado</v>
      </c>
      <c r="O49" s="6">
        <v>1</v>
      </c>
      <c r="P49" s="216" t="s">
        <v>266</v>
      </c>
      <c r="Q49" s="173" t="str">
        <f t="shared" si="41"/>
        <v>Probabilidad</v>
      </c>
      <c r="R49" s="174" t="s">
        <v>14</v>
      </c>
      <c r="S49" s="174" t="s">
        <v>10</v>
      </c>
      <c r="T49" s="175" t="str">
        <f t="shared" si="37"/>
        <v>50%</v>
      </c>
      <c r="U49" s="174" t="s">
        <v>19</v>
      </c>
      <c r="V49" s="174" t="s">
        <v>22</v>
      </c>
      <c r="W49" s="174" t="s">
        <v>118</v>
      </c>
      <c r="X49" s="176">
        <f t="shared" ref="X49" si="48">IFERROR(IF(Q49="Probabilidad",(I49-(+I49*T49)),IF(Q49="Impacto",I49,"")),"")</f>
        <v>0.3</v>
      </c>
      <c r="Y49" s="141" t="str">
        <f t="shared" si="1"/>
        <v>Baja</v>
      </c>
      <c r="Z49" s="142">
        <f t="shared" si="38"/>
        <v>0.3</v>
      </c>
      <c r="AA49" s="141" t="str">
        <f t="shared" ca="1" si="3"/>
        <v>Menor</v>
      </c>
      <c r="AB49" s="142">
        <f t="shared" ref="AB49" ca="1" si="49">IFERROR(IF(Q49="Impacto",(M49-(+M49*T49)),IF(Q49="Probabilidad",M49,"")),"")</f>
        <v>0.4</v>
      </c>
      <c r="AC49" s="143" t="str">
        <f t="shared" ca="1" si="44"/>
        <v>Moderado</v>
      </c>
      <c r="AD49" s="144" t="s">
        <v>32</v>
      </c>
      <c r="AE49" s="218" t="s">
        <v>266</v>
      </c>
      <c r="AF49" s="212" t="s">
        <v>213</v>
      </c>
      <c r="AG49" s="205"/>
      <c r="AH49" s="193" t="s">
        <v>251</v>
      </c>
      <c r="AI49" s="193" t="s">
        <v>252</v>
      </c>
      <c r="AJ49" s="166" t="s">
        <v>294</v>
      </c>
      <c r="AK49" s="147" t="s">
        <v>40</v>
      </c>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51.5" hidden="1" customHeight="1" x14ac:dyDescent="0.3">
      <c r="A50" s="384"/>
      <c r="B50" s="325"/>
      <c r="C50" s="325"/>
      <c r="D50" s="325"/>
      <c r="E50" s="325"/>
      <c r="F50" s="304"/>
      <c r="G50" s="307"/>
      <c r="H50" s="280"/>
      <c r="I50" s="283"/>
      <c r="J50" s="310"/>
      <c r="K50" s="283">
        <f t="shared" ref="K50:K51" ca="1" si="50">IF(NOT(ISERROR(MATCH(J50,_xlfn.ANCHORARRAY(E61),0))),I63&amp;"Por favor no seleccionar los criterios de impacto",J50)</f>
        <v>0</v>
      </c>
      <c r="L50" s="280"/>
      <c r="M50" s="283"/>
      <c r="N50" s="293"/>
      <c r="O50" s="6">
        <v>5</v>
      </c>
      <c r="P50" s="123"/>
      <c r="Q50" s="124" t="str">
        <f t="shared" si="41"/>
        <v/>
      </c>
      <c r="R50" s="125"/>
      <c r="S50" s="125"/>
      <c r="T50" s="126" t="str">
        <f t="shared" si="37"/>
        <v/>
      </c>
      <c r="U50" s="125"/>
      <c r="V50" s="125"/>
      <c r="W50" s="125"/>
      <c r="X50" s="127" t="str">
        <f>IFERROR(IF(AND(#REF!="Probabilidad",Q50="Probabilidad"),(#REF!-(+#REF!*T50)),IF(AND(#REF!="Impacto",Q50="Probabilidad"),(#REF!-(+#REF!*T50)),IF(Q50="Impacto",#REF!,""))),"")</f>
        <v/>
      </c>
      <c r="Y50" s="128" t="str">
        <f t="shared" ref="Y50:Y54" si="51">IFERROR(IF(X50="","",IF(X50&lt;=0.2,"Muy Baja",IF(X50&lt;=0.4,"Baja",IF(X50&lt;=0.6,"Media",IF(X50&lt;=0.8,"Alta","Muy Alta"))))),"")</f>
        <v/>
      </c>
      <c r="Z50" s="129" t="str">
        <f t="shared" si="38"/>
        <v/>
      </c>
      <c r="AA50" s="128" t="str">
        <f t="shared" ref="AA50:AA54" si="52">IFERROR(IF(AB50="","",IF(AB50&lt;=0.2,"Leve",IF(AB50&lt;=0.4,"Menor",IF(AB50&lt;=0.6,"Moderado",IF(AB50&lt;=0.8,"Mayor","Catastrófico"))))),"")</f>
        <v/>
      </c>
      <c r="AB50" s="129" t="str">
        <f>IFERROR(IF(AND(#REF!="Impacto",Q50="Impacto"),(#REF!-(+#REF!*T50)),IF(AND(#REF!="Probabilidad",Q50="Impacto"),(#REF!-(+#REF!*T50)),IF(Q50="Probabilidad",#REF!,""))),"")</f>
        <v/>
      </c>
      <c r="AC50" s="130" t="str">
        <f t="shared" si="44"/>
        <v/>
      </c>
      <c r="AD50" s="131"/>
      <c r="AE50" s="132"/>
      <c r="AF50" s="132"/>
      <c r="AG50" s="133"/>
      <c r="AH50" s="134"/>
      <c r="AI50" s="134"/>
      <c r="AJ50" s="132"/>
      <c r="AK50" s="13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51.5" hidden="1" customHeight="1" x14ac:dyDescent="0.3">
      <c r="A51" s="384"/>
      <c r="B51" s="326"/>
      <c r="C51" s="326"/>
      <c r="D51" s="326"/>
      <c r="E51" s="326"/>
      <c r="F51" s="305"/>
      <c r="G51" s="308"/>
      <c r="H51" s="281"/>
      <c r="I51" s="284"/>
      <c r="J51" s="311"/>
      <c r="K51" s="284">
        <f t="shared" ca="1" si="50"/>
        <v>0</v>
      </c>
      <c r="L51" s="281"/>
      <c r="M51" s="284"/>
      <c r="N51" s="294"/>
      <c r="O51" s="6">
        <v>6</v>
      </c>
      <c r="P51" s="123"/>
      <c r="Q51" s="124" t="str">
        <f t="shared" si="41"/>
        <v/>
      </c>
      <c r="R51" s="125"/>
      <c r="S51" s="125"/>
      <c r="T51" s="126" t="str">
        <f t="shared" si="37"/>
        <v/>
      </c>
      <c r="U51" s="125"/>
      <c r="V51" s="125"/>
      <c r="W51" s="125"/>
      <c r="X51" s="127" t="str">
        <f>IFERROR(IF(AND(Q50="Probabilidad",Q51="Probabilidad"),(Z50-(+Z50*T51)),IF(AND(Q50="Impacto",Q51="Probabilidad"),(#REF!-(+#REF!*T51)),IF(Q51="Impacto",Z50,""))),"")</f>
        <v/>
      </c>
      <c r="Y51" s="128" t="str">
        <f t="shared" si="51"/>
        <v/>
      </c>
      <c r="Z51" s="129" t="str">
        <f t="shared" si="38"/>
        <v/>
      </c>
      <c r="AA51" s="128" t="str">
        <f t="shared" si="52"/>
        <v/>
      </c>
      <c r="AB51" s="129" t="str">
        <f>IFERROR(IF(AND(Q50="Impacto",Q51="Impacto"),(AB50-(+AB50*T51)),IF(AND(Q50="Probabilidad",Q51="Impacto"),(#REF!-(+#REF!*T51)),IF(Q51="Probabilidad",AB50,""))),"")</f>
        <v/>
      </c>
      <c r="AC51" s="130" t="str">
        <f t="shared" si="44"/>
        <v/>
      </c>
      <c r="AD51" s="131"/>
      <c r="AE51" s="132"/>
      <c r="AF51" s="132"/>
      <c r="AG51" s="133"/>
      <c r="AH51" s="134"/>
      <c r="AI51" s="134"/>
      <c r="AJ51" s="132"/>
      <c r="AK51" s="13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51.5" hidden="1" customHeight="1" x14ac:dyDescent="0.3">
      <c r="A52" s="384"/>
      <c r="B52" s="338" t="s">
        <v>132</v>
      </c>
      <c r="C52" s="338" t="s">
        <v>215</v>
      </c>
      <c r="D52" s="338" t="s">
        <v>222</v>
      </c>
      <c r="E52" s="370" t="s">
        <v>217</v>
      </c>
      <c r="F52" s="342" t="s">
        <v>122</v>
      </c>
      <c r="G52" s="306">
        <v>12</v>
      </c>
      <c r="H52" s="279" t="str">
        <f t="shared" ref="H52" si="53">IF(G52&lt;=0,"",IF(G52&lt;=2,"Muy Baja",IF(G52&lt;=24,"Baja",IF(G52&lt;=500,"Media",IF(G52&lt;=5000,"Alta","Muy Alta")))))</f>
        <v>Baja</v>
      </c>
      <c r="I52" s="282">
        <f t="shared" ref="I52" si="54">IF(H52="","",IF(H52="Muy Baja",0.2,IF(H52="Baja",0.4,IF(H52="Media",0.6,IF(H52="Alta",0.8,IF(H52="Muy Alta",1,))))))</f>
        <v>0.4</v>
      </c>
      <c r="J52" s="309" t="s">
        <v>154</v>
      </c>
      <c r="K52" s="282" t="str">
        <f ca="1">IF(NOT(ISERROR(MATCH(J52,'Tabla Impacto'!$B$221:$B$223,0))),'Tabla Impacto'!$F$223&amp;"Por favor no seleccionar los criterios de impacto(Afectación Económica o presupuestal y Pérdida Reputacional)",J52)</f>
        <v xml:space="preserve">     El riesgo afecta la imagen de la entidad a nivel nacional, con efecto publicitarios sostenible a nivel país</v>
      </c>
      <c r="L52" s="279" t="str">
        <f ca="1">IF(OR(K52='Tabla Impacto'!$C$11,K52='Tabla Impacto'!$D$11),"Leve",IF(OR(K52='Tabla Impacto'!$C$12,K52='Tabla Impacto'!$D$12),"Menor",IF(OR(K52='Tabla Impacto'!$C$13,K52='Tabla Impacto'!$D$13),"Moderado",IF(OR(K52='Tabla Impacto'!$C$14,K52='Tabla Impacto'!$D$14),"Mayor",IF(OR(K52='Tabla Impacto'!$C$15,K52='Tabla Impacto'!$D$15),"Catastrófico","")))))</f>
        <v>Catastrófico</v>
      </c>
      <c r="M52" s="282">
        <f t="shared" ref="M52" ca="1" si="55">IF(L52="","",IF(L52="Leve",0.2,IF(L52="Menor",0.4,IF(L52="Moderado",0.6,IF(L52="Mayor",0.8,IF(L52="Catastrófico",1,))))))</f>
        <v>1</v>
      </c>
      <c r="N52" s="292" t="str">
        <f t="shared" ref="N52" ca="1" si="56">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Extremo</v>
      </c>
      <c r="O52" s="6">
        <v>1</v>
      </c>
      <c r="P52" s="151" t="s">
        <v>219</v>
      </c>
      <c r="Q52" s="137" t="str">
        <f t="shared" si="41"/>
        <v>Probabilidad</v>
      </c>
      <c r="R52" s="138" t="s">
        <v>14</v>
      </c>
      <c r="S52" s="138" t="s">
        <v>10</v>
      </c>
      <c r="T52" s="139" t="str">
        <f t="shared" si="37"/>
        <v>50%</v>
      </c>
      <c r="U52" s="138" t="s">
        <v>19</v>
      </c>
      <c r="V52" s="138" t="s">
        <v>22</v>
      </c>
      <c r="W52" s="138" t="s">
        <v>118</v>
      </c>
      <c r="X52" s="140">
        <f t="shared" ref="X52" si="57">IFERROR(IF(Q52="Probabilidad",(I52-(+I52*T52)),IF(Q52="Impacto",I52,"")),"")</f>
        <v>0.2</v>
      </c>
      <c r="Y52" s="141" t="str">
        <f t="shared" si="51"/>
        <v>Muy Baja</v>
      </c>
      <c r="Z52" s="142">
        <f t="shared" si="38"/>
        <v>0.2</v>
      </c>
      <c r="AA52" s="141" t="str">
        <f t="shared" ca="1" si="52"/>
        <v>Catastrófico</v>
      </c>
      <c r="AB52" s="142">
        <f t="shared" ref="AB52" ca="1" si="58">IFERROR(IF(Q52="Impacto",(M52-(+M52*T52)),IF(Q52="Probabilidad",M52,"")),"")</f>
        <v>1</v>
      </c>
      <c r="AC52" s="143" t="str">
        <f t="shared" ca="1" si="44"/>
        <v>Extremo</v>
      </c>
      <c r="AD52" s="144"/>
      <c r="AE52" s="145" t="s">
        <v>218</v>
      </c>
      <c r="AF52" s="145" t="s">
        <v>213</v>
      </c>
      <c r="AG52" s="145" t="s">
        <v>216</v>
      </c>
      <c r="AH52" s="146">
        <v>44927</v>
      </c>
      <c r="AI52" s="150" t="s">
        <v>220</v>
      </c>
      <c r="AJ52" s="145" t="s">
        <v>221</v>
      </c>
      <c r="AK52" s="147" t="s">
        <v>40</v>
      </c>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51.5" hidden="1" customHeight="1" x14ac:dyDescent="0.3">
      <c r="A53" s="384"/>
      <c r="B53" s="339"/>
      <c r="C53" s="339"/>
      <c r="D53" s="339"/>
      <c r="E53" s="371"/>
      <c r="F53" s="343"/>
      <c r="G53" s="307"/>
      <c r="H53" s="280"/>
      <c r="I53" s="283"/>
      <c r="J53" s="310"/>
      <c r="K53" s="283">
        <f t="shared" ref="K53:K54" ca="1" si="59">IF(NOT(ISERROR(MATCH(J53,_xlfn.ANCHORARRAY(E64),0))),I66&amp;"Por favor no seleccionar los criterios de impacto",J53)</f>
        <v>0</v>
      </c>
      <c r="L53" s="280"/>
      <c r="M53" s="283"/>
      <c r="N53" s="293"/>
      <c r="O53" s="6">
        <v>5</v>
      </c>
      <c r="P53" s="123"/>
      <c r="Q53" s="124" t="str">
        <f t="shared" si="41"/>
        <v/>
      </c>
      <c r="R53" s="125"/>
      <c r="S53" s="125"/>
      <c r="T53" s="126" t="str">
        <f t="shared" si="37"/>
        <v/>
      </c>
      <c r="U53" s="125"/>
      <c r="V53" s="125"/>
      <c r="W53" s="125"/>
      <c r="X53" s="127" t="str">
        <f>IFERROR(IF(AND(#REF!="Probabilidad",Q53="Probabilidad"),(#REF!-(+#REF!*T53)),IF(AND(#REF!="Impacto",Q53="Probabilidad"),(#REF!-(+#REF!*T53)),IF(Q53="Impacto",#REF!,""))),"")</f>
        <v/>
      </c>
      <c r="Y53" s="128" t="str">
        <f t="shared" si="51"/>
        <v/>
      </c>
      <c r="Z53" s="129" t="str">
        <f t="shared" si="38"/>
        <v/>
      </c>
      <c r="AA53" s="128" t="str">
        <f t="shared" si="52"/>
        <v/>
      </c>
      <c r="AB53" s="129" t="str">
        <f>IFERROR(IF(AND(#REF!="Impacto",Q53="Impacto"),(#REF!-(+#REF!*T53)),IF(AND(#REF!="Probabilidad",Q53="Impacto"),(#REF!-(+#REF!*T53)),IF(Q53="Probabilidad",#REF!,""))),"")</f>
        <v/>
      </c>
      <c r="AC53" s="130" t="str">
        <f t="shared" si="44"/>
        <v/>
      </c>
      <c r="AD53" s="131"/>
      <c r="AE53" s="132"/>
      <c r="AF53" s="132"/>
      <c r="AG53" s="133"/>
      <c r="AH53" s="134"/>
      <c r="AI53" s="134"/>
      <c r="AJ53" s="132"/>
      <c r="AK53" s="13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51.5" hidden="1" customHeight="1" x14ac:dyDescent="0.3">
      <c r="A54" s="385"/>
      <c r="B54" s="340"/>
      <c r="C54" s="340"/>
      <c r="D54" s="340"/>
      <c r="E54" s="372"/>
      <c r="F54" s="344"/>
      <c r="G54" s="308"/>
      <c r="H54" s="281"/>
      <c r="I54" s="284"/>
      <c r="J54" s="311"/>
      <c r="K54" s="284">
        <f t="shared" ca="1" si="59"/>
        <v>0</v>
      </c>
      <c r="L54" s="281"/>
      <c r="M54" s="284"/>
      <c r="N54" s="294"/>
      <c r="O54" s="6">
        <v>6</v>
      </c>
      <c r="P54" s="123"/>
      <c r="Q54" s="124" t="str">
        <f t="shared" si="41"/>
        <v/>
      </c>
      <c r="R54" s="125"/>
      <c r="S54" s="125"/>
      <c r="T54" s="126" t="str">
        <f t="shared" si="37"/>
        <v/>
      </c>
      <c r="U54" s="125"/>
      <c r="V54" s="125"/>
      <c r="W54" s="125"/>
      <c r="X54" s="127" t="str">
        <f>IFERROR(IF(AND(Q53="Probabilidad",Q54="Probabilidad"),(Z53-(+Z53*T54)),IF(AND(Q53="Impacto",Q54="Probabilidad"),(#REF!-(+#REF!*T54)),IF(Q54="Impacto",Z53,""))),"")</f>
        <v/>
      </c>
      <c r="Y54" s="128" t="str">
        <f t="shared" si="51"/>
        <v/>
      </c>
      <c r="Z54" s="129" t="str">
        <f t="shared" si="38"/>
        <v/>
      </c>
      <c r="AA54" s="128" t="str">
        <f t="shared" si="52"/>
        <v/>
      </c>
      <c r="AB54" s="129" t="str">
        <f>IFERROR(IF(AND(Q53="Impacto",Q54="Impacto"),(AB53-(+AB53*T54)),IF(AND(Q53="Probabilidad",Q54="Impacto"),(#REF!-(+#REF!*T54)),IF(Q54="Probabilidad",AB53,""))),"")</f>
        <v/>
      </c>
      <c r="AC54" s="130" t="str">
        <f t="shared" si="44"/>
        <v/>
      </c>
      <c r="AD54" s="131"/>
      <c r="AE54" s="132"/>
      <c r="AF54" s="132"/>
      <c r="AG54" s="133"/>
      <c r="AH54" s="134"/>
      <c r="AI54" s="134"/>
      <c r="AJ54" s="132"/>
      <c r="AK54" s="13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51.5" hidden="1" customHeight="1" x14ac:dyDescent="0.3">
      <c r="A55" s="318">
        <v>9</v>
      </c>
      <c r="B55" s="342" t="s">
        <v>132</v>
      </c>
      <c r="C55" s="342"/>
      <c r="D55" s="345"/>
      <c r="E55" s="348"/>
      <c r="F55" s="342"/>
      <c r="G55" s="351"/>
      <c r="H55" s="354"/>
      <c r="I55" s="299"/>
      <c r="J55" s="309"/>
      <c r="K55" s="299"/>
      <c r="L55" s="354"/>
      <c r="M55" s="299"/>
      <c r="N55" s="367"/>
      <c r="O55" s="122">
        <v>1</v>
      </c>
      <c r="P55" s="148"/>
      <c r="Q55" s="124"/>
      <c r="R55" s="125"/>
      <c r="S55" s="125"/>
      <c r="T55" s="126"/>
      <c r="U55" s="125"/>
      <c r="V55" s="125"/>
      <c r="W55" s="125"/>
      <c r="X55" s="127"/>
      <c r="Y55" s="128"/>
      <c r="Z55" s="129"/>
      <c r="AA55" s="128"/>
      <c r="AB55" s="129"/>
      <c r="AC55" s="130"/>
      <c r="AD55" s="131"/>
      <c r="AE55" s="132"/>
      <c r="AF55" s="145"/>
      <c r="AG55" s="145"/>
      <c r="AH55" s="146"/>
      <c r="AI55" s="146"/>
      <c r="AJ55" s="132"/>
      <c r="AK55" s="13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51.5" hidden="1" customHeight="1" x14ac:dyDescent="0.3">
      <c r="A56" s="319"/>
      <c r="B56" s="343"/>
      <c r="C56" s="343"/>
      <c r="D56" s="346"/>
      <c r="E56" s="349"/>
      <c r="F56" s="343"/>
      <c r="G56" s="352"/>
      <c r="H56" s="355"/>
      <c r="I56" s="300"/>
      <c r="J56" s="310"/>
      <c r="K56" s="300"/>
      <c r="L56" s="355"/>
      <c r="M56" s="300"/>
      <c r="N56" s="368"/>
      <c r="O56" s="122"/>
      <c r="P56" s="148"/>
      <c r="Q56" s="124"/>
      <c r="R56" s="125"/>
      <c r="S56" s="125"/>
      <c r="T56" s="126"/>
      <c r="U56" s="125"/>
      <c r="V56" s="125"/>
      <c r="W56" s="125"/>
      <c r="X56" s="127"/>
      <c r="Y56" s="128"/>
      <c r="Z56" s="129"/>
      <c r="AA56" s="128"/>
      <c r="AB56" s="129"/>
      <c r="AC56" s="130"/>
      <c r="AD56" s="131"/>
      <c r="AE56" s="132"/>
      <c r="AF56" s="132"/>
      <c r="AG56" s="133"/>
      <c r="AH56" s="134"/>
      <c r="AI56" s="134"/>
      <c r="AJ56" s="132"/>
      <c r="AK56" s="13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51.5" hidden="1" customHeight="1" x14ac:dyDescent="0.3">
      <c r="A57" s="319"/>
      <c r="B57" s="343"/>
      <c r="C57" s="343"/>
      <c r="D57" s="346"/>
      <c r="E57" s="349"/>
      <c r="F57" s="343"/>
      <c r="G57" s="352"/>
      <c r="H57" s="355"/>
      <c r="I57" s="300"/>
      <c r="J57" s="310"/>
      <c r="K57" s="300"/>
      <c r="L57" s="355"/>
      <c r="M57" s="300"/>
      <c r="N57" s="368"/>
      <c r="O57" s="122"/>
      <c r="P57" s="147"/>
      <c r="Q57" s="124"/>
      <c r="R57" s="125"/>
      <c r="S57" s="125"/>
      <c r="T57" s="126"/>
      <c r="U57" s="125"/>
      <c r="V57" s="125"/>
      <c r="W57" s="125"/>
      <c r="X57" s="127"/>
      <c r="Y57" s="128"/>
      <c r="Z57" s="129"/>
      <c r="AA57" s="128"/>
      <c r="AB57" s="129"/>
      <c r="AC57" s="130"/>
      <c r="AD57" s="131"/>
      <c r="AE57" s="132"/>
      <c r="AF57" s="132"/>
      <c r="AG57" s="133"/>
      <c r="AH57" s="134"/>
      <c r="AI57" s="134"/>
      <c r="AJ57" s="132"/>
      <c r="AK57" s="13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51.5" hidden="1" customHeight="1" x14ac:dyDescent="0.3">
      <c r="A58" s="319"/>
      <c r="B58" s="343"/>
      <c r="C58" s="343"/>
      <c r="D58" s="346"/>
      <c r="E58" s="349"/>
      <c r="F58" s="343"/>
      <c r="G58" s="352"/>
      <c r="H58" s="355"/>
      <c r="I58" s="300"/>
      <c r="J58" s="310"/>
      <c r="K58" s="300"/>
      <c r="L58" s="355"/>
      <c r="M58" s="300"/>
      <c r="N58" s="368"/>
      <c r="O58" s="122"/>
      <c r="P58" s="148"/>
      <c r="Q58" s="124"/>
      <c r="R58" s="125"/>
      <c r="S58" s="125"/>
      <c r="T58" s="126"/>
      <c r="U58" s="125"/>
      <c r="V58" s="125"/>
      <c r="W58" s="125"/>
      <c r="X58" s="127"/>
      <c r="Y58" s="128"/>
      <c r="Z58" s="129"/>
      <c r="AA58" s="128"/>
      <c r="AB58" s="129"/>
      <c r="AC58" s="130"/>
      <c r="AD58" s="131"/>
      <c r="AE58" s="132"/>
      <c r="AF58" s="132"/>
      <c r="AG58" s="133"/>
      <c r="AH58" s="134"/>
      <c r="AI58" s="134"/>
      <c r="AJ58" s="132"/>
      <c r="AK58" s="13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51.5" hidden="1" customHeight="1" x14ac:dyDescent="0.3">
      <c r="A59" s="319"/>
      <c r="B59" s="343"/>
      <c r="C59" s="343"/>
      <c r="D59" s="346"/>
      <c r="E59" s="349"/>
      <c r="F59" s="343"/>
      <c r="G59" s="352"/>
      <c r="H59" s="355"/>
      <c r="I59" s="300"/>
      <c r="J59" s="310"/>
      <c r="K59" s="300"/>
      <c r="L59" s="355"/>
      <c r="M59" s="300"/>
      <c r="N59" s="368"/>
      <c r="O59" s="122"/>
      <c r="P59" s="148"/>
      <c r="Q59" s="124"/>
      <c r="R59" s="125"/>
      <c r="S59" s="125"/>
      <c r="T59" s="126"/>
      <c r="U59" s="125"/>
      <c r="V59" s="125"/>
      <c r="W59" s="125"/>
      <c r="X59" s="127"/>
      <c r="Y59" s="128"/>
      <c r="Z59" s="129"/>
      <c r="AA59" s="128"/>
      <c r="AB59" s="129"/>
      <c r="AC59" s="130"/>
      <c r="AD59" s="131"/>
      <c r="AE59" s="132"/>
      <c r="AF59" s="132"/>
      <c r="AG59" s="133"/>
      <c r="AH59" s="134"/>
      <c r="AI59" s="134"/>
      <c r="AJ59" s="132"/>
      <c r="AK59" s="13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x14ac:dyDescent="0.3">
      <c r="A60" s="320"/>
      <c r="B60" s="344"/>
      <c r="C60" s="344"/>
      <c r="D60" s="347"/>
      <c r="E60" s="350"/>
      <c r="F60" s="344"/>
      <c r="G60" s="353"/>
      <c r="H60" s="356"/>
      <c r="I60" s="301"/>
      <c r="J60" s="311"/>
      <c r="K60" s="301"/>
      <c r="L60" s="356"/>
      <c r="M60" s="301"/>
      <c r="N60" s="369"/>
      <c r="O60" s="122"/>
      <c r="P60" s="148"/>
      <c r="Q60" s="124"/>
      <c r="R60" s="125"/>
      <c r="S60" s="125"/>
      <c r="T60" s="126"/>
      <c r="U60" s="125"/>
      <c r="V60" s="125"/>
      <c r="W60" s="125"/>
      <c r="X60" s="127"/>
      <c r="Y60" s="128"/>
      <c r="Z60" s="129"/>
      <c r="AA60" s="128"/>
      <c r="AB60" s="129"/>
      <c r="AC60" s="130"/>
      <c r="AD60" s="131"/>
      <c r="AE60" s="132"/>
      <c r="AF60" s="132"/>
      <c r="AG60" s="133"/>
      <c r="AH60" s="134"/>
      <c r="AI60" s="134"/>
      <c r="AJ60" s="132"/>
      <c r="AK60" s="13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51.5" hidden="1" customHeight="1" x14ac:dyDescent="0.3">
      <c r="A61" s="318">
        <v>10</v>
      </c>
      <c r="B61" s="342" t="s">
        <v>132</v>
      </c>
      <c r="C61" s="342"/>
      <c r="D61" s="345"/>
      <c r="E61" s="348"/>
      <c r="F61" s="342"/>
      <c r="G61" s="351"/>
      <c r="H61" s="354" t="str">
        <f>IF(G61&lt;=0,"",IF(G61&lt;=2,"Muy Baja",IF(G61&lt;=24,"Baja",IF(G61&lt;=500,"Media",IF(G61&lt;=5000,"Alta","Muy Alta")))))</f>
        <v/>
      </c>
      <c r="I61" s="299" t="str">
        <f>IF(H61="","",IF(H61="Muy Baja",0.2,IF(H61="Baja",0.4,IF(H61="Media",0.6,IF(H61="Alta",0.8,IF(H61="Muy Alta",1,))))))</f>
        <v/>
      </c>
      <c r="J61" s="309"/>
      <c r="K61" s="299">
        <f ca="1">IF(NOT(ISERROR(MATCH(J61,'Tabla Impacto'!$B$221:$B$223,0))),'Tabla Impacto'!$F$223&amp;"Por favor no seleccionar los criterios de impacto(Afectación Económica o presupuestal y Pérdida Reputacional)",J61)</f>
        <v>0</v>
      </c>
      <c r="L61" s="354" t="str">
        <f ca="1">IF(OR(K61='Tabla Impacto'!$C$11,K61='Tabla Impacto'!$D$11),"Leve",IF(OR(K61='Tabla Impacto'!$C$12,K61='Tabla Impacto'!$D$12),"Menor",IF(OR(K61='Tabla Impacto'!$C$13,K61='Tabla Impacto'!$D$13),"Moderado",IF(OR(K61='Tabla Impacto'!$C$14,K61='Tabla Impacto'!$D$14),"Mayor",IF(OR(K61='Tabla Impacto'!$C$15,K61='Tabla Impacto'!$D$15),"Catastrófico","")))))</f>
        <v/>
      </c>
      <c r="M61" s="299" t="str">
        <f ca="1">IF(L61="","",IF(L61="Leve",0.2,IF(L61="Menor",0.4,IF(L61="Moderado",0.6,IF(L61="Mayor",0.8,IF(L61="Catastrófico",1,))))))</f>
        <v/>
      </c>
      <c r="N61" s="367" t="str">
        <f ca="1">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
      </c>
      <c r="O61" s="122">
        <v>1</v>
      </c>
      <c r="P61" s="148"/>
      <c r="Q61" s="124"/>
      <c r="R61" s="125"/>
      <c r="S61" s="125"/>
      <c r="T61" s="126"/>
      <c r="U61" s="125"/>
      <c r="V61" s="125"/>
      <c r="W61" s="125"/>
      <c r="X61" s="127"/>
      <c r="Y61" s="128"/>
      <c r="Z61" s="129"/>
      <c r="AA61" s="128"/>
      <c r="AB61" s="129"/>
      <c r="AC61" s="130"/>
      <c r="AD61" s="131"/>
      <c r="AE61" s="132"/>
      <c r="AF61" s="145"/>
      <c r="AG61" s="133"/>
      <c r="AH61" s="134"/>
      <c r="AI61" s="134"/>
      <c r="AJ61" s="132"/>
      <c r="AK61" s="13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51.5" hidden="1" customHeight="1" x14ac:dyDescent="0.3">
      <c r="A62" s="319"/>
      <c r="B62" s="343"/>
      <c r="C62" s="343"/>
      <c r="D62" s="346"/>
      <c r="E62" s="349"/>
      <c r="F62" s="343"/>
      <c r="G62" s="352"/>
      <c r="H62" s="355"/>
      <c r="I62" s="300"/>
      <c r="J62" s="310"/>
      <c r="K62" s="300">
        <f ca="1">IF(NOT(ISERROR(MATCH(J62,_xlfn.ANCHORARRAY(E73),0))),I75&amp;"Por favor no seleccionar los criterios de impacto",J62)</f>
        <v>0</v>
      </c>
      <c r="L62" s="355"/>
      <c r="M62" s="300"/>
      <c r="N62" s="368"/>
      <c r="O62" s="122">
        <v>2</v>
      </c>
      <c r="P62" s="123"/>
      <c r="Q62" s="124" t="str">
        <f>IF(OR(R62="Preventivo",R62="Detectivo"),"Probabilidad",IF(R62="Correctivo","Impacto",""))</f>
        <v/>
      </c>
      <c r="R62" s="125"/>
      <c r="S62" s="125"/>
      <c r="T62" s="126" t="str">
        <f t="shared" ref="T62:T66" si="60">IF(AND(R62="Preventivo",S62="Automático"),"50%",IF(AND(R62="Preventivo",S62="Manual"),"40%",IF(AND(R62="Detectivo",S62="Automático"),"40%",IF(AND(R62="Detectivo",S62="Manual"),"30%",IF(AND(R62="Correctivo",S62="Automático"),"35%",IF(AND(R62="Correctivo",S62="Manual"),"25%",""))))))</f>
        <v/>
      </c>
      <c r="U62" s="125"/>
      <c r="V62" s="125"/>
      <c r="W62" s="125"/>
      <c r="X62" s="127" t="str">
        <f>IFERROR(IF(AND(Q61="Probabilidad",Q62="Probabilidad"),(Z61-(+Z61*T62)),IF(Q62="Probabilidad",(I61-(+I61*T62)),IF(Q62="Impacto",Z61,""))),"")</f>
        <v/>
      </c>
      <c r="Y62" s="128" t="str">
        <f t="shared" si="1"/>
        <v/>
      </c>
      <c r="Z62" s="129" t="str">
        <f t="shared" ref="Z62:Z66" si="61">+X62</f>
        <v/>
      </c>
      <c r="AA62" s="128" t="str">
        <f t="shared" si="3"/>
        <v/>
      </c>
      <c r="AB62" s="129" t="str">
        <f>IFERROR(IF(AND(Q61="Impacto",Q62="Impacto"),(AB61-(+AB61*T62)),IF(Q62="Impacto",(M61-(+M61*T62)),IF(Q62="Probabilidad",AB61,""))),"")</f>
        <v/>
      </c>
      <c r="AC62" s="130" t="str">
        <f t="shared" ref="AC62:AC63" si="62">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1"/>
      <c r="AE62" s="132"/>
      <c r="AF62" s="132"/>
      <c r="AG62" s="133"/>
      <c r="AH62" s="134"/>
      <c r="AI62" s="134"/>
      <c r="AJ62" s="132"/>
      <c r="AK62" s="133"/>
    </row>
    <row r="63" spans="1:69" ht="151.5" hidden="1" customHeight="1" x14ac:dyDescent="0.3">
      <c r="A63" s="319"/>
      <c r="B63" s="343"/>
      <c r="C63" s="343"/>
      <c r="D63" s="346"/>
      <c r="E63" s="349"/>
      <c r="F63" s="343"/>
      <c r="G63" s="352"/>
      <c r="H63" s="355"/>
      <c r="I63" s="300"/>
      <c r="J63" s="310"/>
      <c r="K63" s="300">
        <f ca="1">IF(NOT(ISERROR(MATCH(J63,_xlfn.ANCHORARRAY(E74),0))),I76&amp;"Por favor no seleccionar los criterios de impacto",J63)</f>
        <v>0</v>
      </c>
      <c r="L63" s="355"/>
      <c r="M63" s="300"/>
      <c r="N63" s="368"/>
      <c r="O63" s="122">
        <v>3</v>
      </c>
      <c r="P63" s="135"/>
      <c r="Q63" s="124" t="str">
        <f>IF(OR(R63="Preventivo",R63="Detectivo"),"Probabilidad",IF(R63="Correctivo","Impacto",""))</f>
        <v/>
      </c>
      <c r="R63" s="125"/>
      <c r="S63" s="125"/>
      <c r="T63" s="126" t="str">
        <f t="shared" si="60"/>
        <v/>
      </c>
      <c r="U63" s="125"/>
      <c r="V63" s="125"/>
      <c r="W63" s="125"/>
      <c r="X63" s="127" t="str">
        <f>IFERROR(IF(AND(Q62="Probabilidad",Q63="Probabilidad"),(Z62-(+Z62*T63)),IF(AND(Q62="Impacto",Q63="Probabilidad"),(Z61-(+Z61*T63)),IF(Q63="Impacto",Z62,""))),"")</f>
        <v/>
      </c>
      <c r="Y63" s="128" t="str">
        <f t="shared" si="1"/>
        <v/>
      </c>
      <c r="Z63" s="129" t="str">
        <f t="shared" si="61"/>
        <v/>
      </c>
      <c r="AA63" s="128" t="str">
        <f t="shared" si="3"/>
        <v/>
      </c>
      <c r="AB63" s="129" t="str">
        <f>IFERROR(IF(AND(Q62="Impacto",Q63="Impacto"),(AB62-(+AB62*T63)),IF(AND(Q62="Probabilidad",Q63="Impacto"),(AB61-(+AB61*T63)),IF(Q63="Probabilidad",AB62,""))),"")</f>
        <v/>
      </c>
      <c r="AC63" s="130" t="str">
        <f t="shared" si="62"/>
        <v/>
      </c>
      <c r="AD63" s="131"/>
      <c r="AE63" s="132"/>
      <c r="AF63" s="132"/>
      <c r="AG63" s="133"/>
      <c r="AH63" s="134"/>
      <c r="AI63" s="134"/>
      <c r="AJ63" s="132"/>
      <c r="AK63" s="133"/>
    </row>
    <row r="64" spans="1:69" ht="151.5" hidden="1" customHeight="1" x14ac:dyDescent="0.3">
      <c r="A64" s="319"/>
      <c r="B64" s="343"/>
      <c r="C64" s="343"/>
      <c r="D64" s="346"/>
      <c r="E64" s="349"/>
      <c r="F64" s="343"/>
      <c r="G64" s="352"/>
      <c r="H64" s="355"/>
      <c r="I64" s="300"/>
      <c r="J64" s="310"/>
      <c r="K64" s="300">
        <f ca="1">IF(NOT(ISERROR(MATCH(J64,_xlfn.ANCHORARRAY(E75),0))),I77&amp;"Por favor no seleccionar los criterios de impacto",J64)</f>
        <v>0</v>
      </c>
      <c r="L64" s="355"/>
      <c r="M64" s="300"/>
      <c r="N64" s="368"/>
      <c r="O64" s="122">
        <v>4</v>
      </c>
      <c r="P64" s="123"/>
      <c r="Q64" s="124" t="str">
        <f t="shared" ref="Q64:Q66" si="63">IF(OR(R64="Preventivo",R64="Detectivo"),"Probabilidad",IF(R64="Correctivo","Impacto",""))</f>
        <v/>
      </c>
      <c r="R64" s="125"/>
      <c r="S64" s="125"/>
      <c r="T64" s="126" t="str">
        <f t="shared" si="60"/>
        <v/>
      </c>
      <c r="U64" s="125"/>
      <c r="V64" s="125"/>
      <c r="W64" s="125"/>
      <c r="X64" s="127" t="str">
        <f t="shared" ref="X64:X66" si="64">IFERROR(IF(AND(Q63="Probabilidad",Q64="Probabilidad"),(Z63-(+Z63*T64)),IF(AND(Q63="Impacto",Q64="Probabilidad"),(Z62-(+Z62*T64)),IF(Q64="Impacto",Z63,""))),"")</f>
        <v/>
      </c>
      <c r="Y64" s="128" t="str">
        <f t="shared" si="1"/>
        <v/>
      </c>
      <c r="Z64" s="129" t="str">
        <f t="shared" si="61"/>
        <v/>
      </c>
      <c r="AA64" s="128" t="str">
        <f t="shared" si="3"/>
        <v/>
      </c>
      <c r="AB64" s="129" t="str">
        <f t="shared" ref="AB64:AB66" si="65">IFERROR(IF(AND(Q63="Impacto",Q64="Impacto"),(AB63-(+AB63*T64)),IF(AND(Q63="Probabilidad",Q64="Impacto"),(AB62-(+AB62*T64)),IF(Q64="Probabilidad",AB63,""))),"")</f>
        <v/>
      </c>
      <c r="AC64" s="130"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1"/>
      <c r="AE64" s="132"/>
      <c r="AF64" s="132"/>
      <c r="AG64" s="133"/>
      <c r="AH64" s="134"/>
      <c r="AI64" s="134"/>
      <c r="AJ64" s="132"/>
      <c r="AK64" s="133"/>
    </row>
    <row r="65" spans="1:37" ht="151.5" hidden="1" customHeight="1" x14ac:dyDescent="0.3">
      <c r="A65" s="319"/>
      <c r="B65" s="343"/>
      <c r="C65" s="343"/>
      <c r="D65" s="346"/>
      <c r="E65" s="349"/>
      <c r="F65" s="343"/>
      <c r="G65" s="352"/>
      <c r="H65" s="355"/>
      <c r="I65" s="300"/>
      <c r="J65" s="310"/>
      <c r="K65" s="300">
        <f ca="1">IF(NOT(ISERROR(MATCH(J65,_xlfn.ANCHORARRAY(E76),0))),I78&amp;"Por favor no seleccionar los criterios de impacto",J65)</f>
        <v>0</v>
      </c>
      <c r="L65" s="355"/>
      <c r="M65" s="300"/>
      <c r="N65" s="368"/>
      <c r="O65" s="122">
        <v>5</v>
      </c>
      <c r="P65" s="123"/>
      <c r="Q65" s="124" t="str">
        <f t="shared" si="63"/>
        <v/>
      </c>
      <c r="R65" s="125"/>
      <c r="S65" s="125"/>
      <c r="T65" s="126" t="str">
        <f t="shared" si="60"/>
        <v/>
      </c>
      <c r="U65" s="125"/>
      <c r="V65" s="125"/>
      <c r="W65" s="125"/>
      <c r="X65" s="127" t="str">
        <f t="shared" si="64"/>
        <v/>
      </c>
      <c r="Y65" s="128" t="str">
        <f t="shared" si="1"/>
        <v/>
      </c>
      <c r="Z65" s="129" t="str">
        <f t="shared" si="61"/>
        <v/>
      </c>
      <c r="AA65" s="128" t="str">
        <f t="shared" si="3"/>
        <v/>
      </c>
      <c r="AB65" s="129" t="str">
        <f t="shared" si="65"/>
        <v/>
      </c>
      <c r="AC65" s="130"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1"/>
      <c r="AE65" s="132"/>
      <c r="AF65" s="132"/>
      <c r="AG65" s="133"/>
      <c r="AH65" s="134"/>
      <c r="AI65" s="134"/>
      <c r="AJ65" s="132"/>
      <c r="AK65" s="133"/>
    </row>
    <row r="66" spans="1:37" ht="45" hidden="1" customHeight="1" x14ac:dyDescent="0.3">
      <c r="A66" s="320"/>
      <c r="B66" s="344"/>
      <c r="C66" s="344"/>
      <c r="D66" s="347"/>
      <c r="E66" s="350"/>
      <c r="F66" s="344"/>
      <c r="G66" s="353"/>
      <c r="H66" s="356"/>
      <c r="I66" s="301"/>
      <c r="J66" s="311"/>
      <c r="K66" s="301">
        <f ca="1">IF(NOT(ISERROR(MATCH(J66,_xlfn.ANCHORARRAY(E77),0))),I79&amp;"Por favor no seleccionar los criterios de impacto",J66)</f>
        <v>0</v>
      </c>
      <c r="L66" s="356"/>
      <c r="M66" s="301"/>
      <c r="N66" s="369"/>
      <c r="O66" s="122">
        <v>6</v>
      </c>
      <c r="P66" s="123"/>
      <c r="Q66" s="124" t="str">
        <f t="shared" si="63"/>
        <v/>
      </c>
      <c r="R66" s="125"/>
      <c r="S66" s="125"/>
      <c r="T66" s="126" t="str">
        <f t="shared" si="60"/>
        <v/>
      </c>
      <c r="U66" s="125"/>
      <c r="V66" s="125"/>
      <c r="W66" s="125"/>
      <c r="X66" s="127" t="str">
        <f t="shared" si="64"/>
        <v/>
      </c>
      <c r="Y66" s="128" t="str">
        <f t="shared" si="1"/>
        <v/>
      </c>
      <c r="Z66" s="129" t="str">
        <f t="shared" si="61"/>
        <v/>
      </c>
      <c r="AA66" s="128" t="str">
        <f t="shared" si="3"/>
        <v/>
      </c>
      <c r="AB66" s="129" t="str">
        <f t="shared" si="65"/>
        <v/>
      </c>
      <c r="AC66" s="130" t="str">
        <f t="shared" si="66"/>
        <v/>
      </c>
      <c r="AD66" s="131"/>
      <c r="AE66" s="132"/>
      <c r="AF66" s="132"/>
      <c r="AG66" s="133"/>
      <c r="AH66" s="134"/>
      <c r="AI66" s="134"/>
      <c r="AJ66" s="132"/>
      <c r="AK66" s="133"/>
    </row>
    <row r="67" spans="1:37" ht="49.5" customHeight="1" x14ac:dyDescent="0.3">
      <c r="A67" s="6"/>
      <c r="B67" s="364" t="s">
        <v>132</v>
      </c>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6"/>
    </row>
    <row r="69" spans="1:37" x14ac:dyDescent="0.3">
      <c r="A69" s="1"/>
      <c r="B69" s="23" t="s">
        <v>141</v>
      </c>
      <c r="C69" s="1"/>
      <c r="D69" s="1"/>
      <c r="F69" s="1"/>
    </row>
  </sheetData>
  <sheetProtection algorithmName="SHA-512" hashValue="lYvz1ycs07gWDZrVMdFtpjViNA90G/ZPTIigkazRKn5Ek54mYqGVIBm2QjHSLPo4i6mDacUs5/oXd0ZZioI8WQ==" saltValue="Wta5c9BaZVUD7yl9ldYb9A==" spinCount="100000" sheet="1" objects="1" scenarios="1" selectLockedCells="1" selectUnlockedCells="1"/>
  <dataConsolidate/>
  <mergeCells count="205">
    <mergeCell ref="M52:M54"/>
    <mergeCell ref="N52:N54"/>
    <mergeCell ref="AF8:AF9"/>
    <mergeCell ref="Y8:Y9"/>
    <mergeCell ref="Z8:Z9"/>
    <mergeCell ref="AA8:AA9"/>
    <mergeCell ref="AD8:AD9"/>
    <mergeCell ref="AC8:AC9"/>
    <mergeCell ref="AB8:AB9"/>
    <mergeCell ref="N43:N44"/>
    <mergeCell ref="M43:M44"/>
    <mergeCell ref="AJ8:AJ9"/>
    <mergeCell ref="AI8:AI9"/>
    <mergeCell ref="AH8:AH9"/>
    <mergeCell ref="AG8:AG9"/>
    <mergeCell ref="AO7:AQ7"/>
    <mergeCell ref="AO8:AO9"/>
    <mergeCell ref="AP8:AP9"/>
    <mergeCell ref="AQ8:AQ9"/>
    <mergeCell ref="AL7:AN7"/>
    <mergeCell ref="AL8:AL9"/>
    <mergeCell ref="AM8:AM9"/>
    <mergeCell ref="AN8:AN9"/>
    <mergeCell ref="O7:W7"/>
    <mergeCell ref="X7:AD7"/>
    <mergeCell ref="AE7:AK7"/>
    <mergeCell ref="M34:M36"/>
    <mergeCell ref="N34:N36"/>
    <mergeCell ref="M37:M42"/>
    <mergeCell ref="N37:N42"/>
    <mergeCell ref="J37:J42"/>
    <mergeCell ref="K37:K42"/>
    <mergeCell ref="L37:L42"/>
    <mergeCell ref="N28:N33"/>
    <mergeCell ref="J22:J27"/>
    <mergeCell ref="K22:K27"/>
    <mergeCell ref="L22:L27"/>
    <mergeCell ref="AK8:AK9"/>
    <mergeCell ref="M49:M51"/>
    <mergeCell ref="N49:N51"/>
    <mergeCell ref="J52:J54"/>
    <mergeCell ref="A1:D2"/>
    <mergeCell ref="A7:G7"/>
    <mergeCell ref="H7:N7"/>
    <mergeCell ref="A4:B4"/>
    <mergeCell ref="A5:B5"/>
    <mergeCell ref="A6:B6"/>
    <mergeCell ref="E1:AI1"/>
    <mergeCell ref="G52:G54"/>
    <mergeCell ref="H52:H54"/>
    <mergeCell ref="I52:I54"/>
    <mergeCell ref="H37:H42"/>
    <mergeCell ref="I37:I42"/>
    <mergeCell ref="K34:K36"/>
    <mergeCell ref="L34:L36"/>
    <mergeCell ref="A49:A54"/>
    <mergeCell ref="A43:A48"/>
    <mergeCell ref="B43:B48"/>
    <mergeCell ref="B49:B51"/>
    <mergeCell ref="C49:C51"/>
    <mergeCell ref="D49:D51"/>
    <mergeCell ref="L43:L44"/>
    <mergeCell ref="AJ1:AK1"/>
    <mergeCell ref="E2:AI2"/>
    <mergeCell ref="AJ2:AK2"/>
    <mergeCell ref="C4:AK4"/>
    <mergeCell ref="C5:AK5"/>
    <mergeCell ref="C6:AK6"/>
    <mergeCell ref="B67:AK67"/>
    <mergeCell ref="M55:M60"/>
    <mergeCell ref="N55:N60"/>
    <mergeCell ref="J61:J66"/>
    <mergeCell ref="K61:K66"/>
    <mergeCell ref="L61:L66"/>
    <mergeCell ref="M61:M66"/>
    <mergeCell ref="N61:N66"/>
    <mergeCell ref="J55:J60"/>
    <mergeCell ref="K55:K60"/>
    <mergeCell ref="L55:L60"/>
    <mergeCell ref="E49:E51"/>
    <mergeCell ref="F49:F51"/>
    <mergeCell ref="G49:G51"/>
    <mergeCell ref="H49:H51"/>
    <mergeCell ref="I49:I51"/>
    <mergeCell ref="E52:E54"/>
    <mergeCell ref="F52:F54"/>
    <mergeCell ref="A61:A66"/>
    <mergeCell ref="B61:B66"/>
    <mergeCell ref="C61:C66"/>
    <mergeCell ref="D61:D66"/>
    <mergeCell ref="E61:E66"/>
    <mergeCell ref="F61:F66"/>
    <mergeCell ref="G61:G66"/>
    <mergeCell ref="H61:H66"/>
    <mergeCell ref="I61:I66"/>
    <mergeCell ref="A55:A60"/>
    <mergeCell ref="B55:B60"/>
    <mergeCell ref="C55:C60"/>
    <mergeCell ref="D55:D60"/>
    <mergeCell ref="E55:E60"/>
    <mergeCell ref="F55:F60"/>
    <mergeCell ref="G55:G60"/>
    <mergeCell ref="H55:H60"/>
    <mergeCell ref="I55:I60"/>
    <mergeCell ref="K49:K51"/>
    <mergeCell ref="L49:L51"/>
    <mergeCell ref="B52:B54"/>
    <mergeCell ref="C52:C54"/>
    <mergeCell ref="D52:D54"/>
    <mergeCell ref="K52:K54"/>
    <mergeCell ref="L52:L54"/>
    <mergeCell ref="H43:H44"/>
    <mergeCell ref="G43:G44"/>
    <mergeCell ref="J49:J51"/>
    <mergeCell ref="J43:J44"/>
    <mergeCell ref="I43:I44"/>
    <mergeCell ref="A34:A36"/>
    <mergeCell ref="B34:B36"/>
    <mergeCell ref="C34:C36"/>
    <mergeCell ref="A37:A42"/>
    <mergeCell ref="B37:B42"/>
    <mergeCell ref="C37:C42"/>
    <mergeCell ref="D37:D42"/>
    <mergeCell ref="E37:E42"/>
    <mergeCell ref="F37:F42"/>
    <mergeCell ref="D34:D36"/>
    <mergeCell ref="E34:E36"/>
    <mergeCell ref="F34:F36"/>
    <mergeCell ref="G34:G36"/>
    <mergeCell ref="H34:H36"/>
    <mergeCell ref="I34:I36"/>
    <mergeCell ref="J34:J36"/>
    <mergeCell ref="G37:G42"/>
    <mergeCell ref="J28:J33"/>
    <mergeCell ref="K28:K33"/>
    <mergeCell ref="L28:L33"/>
    <mergeCell ref="M28:M33"/>
    <mergeCell ref="A22:A27"/>
    <mergeCell ref="B22:B27"/>
    <mergeCell ref="C22:C27"/>
    <mergeCell ref="D22:D27"/>
    <mergeCell ref="E22:E27"/>
    <mergeCell ref="A28:A33"/>
    <mergeCell ref="B28:B33"/>
    <mergeCell ref="C28:C33"/>
    <mergeCell ref="D28:D33"/>
    <mergeCell ref="E28:E33"/>
    <mergeCell ref="F28:F33"/>
    <mergeCell ref="G28:G33"/>
    <mergeCell ref="H28:H33"/>
    <mergeCell ref="I28:I33"/>
    <mergeCell ref="M22:M27"/>
    <mergeCell ref="N22:N27"/>
    <mergeCell ref="A8:A9"/>
    <mergeCell ref="F8:F9"/>
    <mergeCell ref="E8:E9"/>
    <mergeCell ref="D8:D9"/>
    <mergeCell ref="C8:C9"/>
    <mergeCell ref="B8:B9"/>
    <mergeCell ref="A16:A21"/>
    <mergeCell ref="B16:B21"/>
    <mergeCell ref="C16:C21"/>
    <mergeCell ref="D16:D21"/>
    <mergeCell ref="E16:E21"/>
    <mergeCell ref="F16:F21"/>
    <mergeCell ref="F10:F15"/>
    <mergeCell ref="A10:A15"/>
    <mergeCell ref="B10:B15"/>
    <mergeCell ref="C10:C15"/>
    <mergeCell ref="D10:D15"/>
    <mergeCell ref="E10:E15"/>
    <mergeCell ref="F22:F27"/>
    <mergeCell ref="G22:G27"/>
    <mergeCell ref="H22:H27"/>
    <mergeCell ref="I22:I27"/>
    <mergeCell ref="J16:J21"/>
    <mergeCell ref="G16:G21"/>
    <mergeCell ref="H16:H21"/>
    <mergeCell ref="I16:I21"/>
    <mergeCell ref="G10:G15"/>
    <mergeCell ref="H10:H15"/>
    <mergeCell ref="I10:I15"/>
    <mergeCell ref="J10:J15"/>
    <mergeCell ref="L10:L15"/>
    <mergeCell ref="M10:M15"/>
    <mergeCell ref="J8:J9"/>
    <mergeCell ref="K8:K9"/>
    <mergeCell ref="G8:G9"/>
    <mergeCell ref="H8:H9"/>
    <mergeCell ref="I8:I9"/>
    <mergeCell ref="N16:N21"/>
    <mergeCell ref="AE8:AE9"/>
    <mergeCell ref="N8:N9"/>
    <mergeCell ref="Q8:Q9"/>
    <mergeCell ref="R8:W8"/>
    <mergeCell ref="O8:O9"/>
    <mergeCell ref="X8:X9"/>
    <mergeCell ref="P8:P9"/>
    <mergeCell ref="N10:N15"/>
    <mergeCell ref="K16:K21"/>
    <mergeCell ref="L16:L21"/>
    <mergeCell ref="M16:M21"/>
    <mergeCell ref="L8:L9"/>
    <mergeCell ref="M8:M9"/>
    <mergeCell ref="K10:K15"/>
  </mergeCells>
  <conditionalFormatting sqref="H10 Y10:Y66 H16">
    <cfRule type="cellIs" dxfId="94" priority="332" operator="equal">
      <formula>"Muy Baja"</formula>
    </cfRule>
    <cfRule type="cellIs" dxfId="93" priority="331" operator="equal">
      <formula>"Baja"</formula>
    </cfRule>
    <cfRule type="cellIs" dxfId="92" priority="330" operator="equal">
      <formula>"Media"</formula>
    </cfRule>
    <cfRule type="cellIs" dxfId="91" priority="329" operator="equal">
      <formula>"Alta"</formula>
    </cfRule>
    <cfRule type="cellIs" dxfId="90" priority="328" operator="equal">
      <formula>"Muy Alta"</formula>
    </cfRule>
  </conditionalFormatting>
  <conditionalFormatting sqref="H22">
    <cfRule type="cellIs" dxfId="89" priority="230" operator="equal">
      <formula>"Muy Alta"</formula>
    </cfRule>
    <cfRule type="cellIs" dxfId="88" priority="234" operator="equal">
      <formula>"Muy Baja"</formula>
    </cfRule>
    <cfRule type="cellIs" dxfId="87" priority="233" operator="equal">
      <formula>"Baja"</formula>
    </cfRule>
    <cfRule type="cellIs" dxfId="86" priority="232" operator="equal">
      <formula>"Media"</formula>
    </cfRule>
    <cfRule type="cellIs" dxfId="85" priority="231" operator="equal">
      <formula>"Alta"</formula>
    </cfRule>
  </conditionalFormatting>
  <conditionalFormatting sqref="H28">
    <cfRule type="cellIs" dxfId="84" priority="206" operator="equal">
      <formula>"Muy Baja"</formula>
    </cfRule>
    <cfRule type="cellIs" dxfId="83" priority="205" operator="equal">
      <formula>"Baja"</formula>
    </cfRule>
    <cfRule type="cellIs" dxfId="82" priority="204" operator="equal">
      <formula>"Media"</formula>
    </cfRule>
    <cfRule type="cellIs" dxfId="81" priority="203" operator="equal">
      <formula>"Alta"</formula>
    </cfRule>
    <cfRule type="cellIs" dxfId="80" priority="202" operator="equal">
      <formula>"Muy Alta"</formula>
    </cfRule>
  </conditionalFormatting>
  <conditionalFormatting sqref="H34">
    <cfRule type="cellIs" dxfId="79" priority="178" operator="equal">
      <formula>"Muy Baja"</formula>
    </cfRule>
    <cfRule type="cellIs" dxfId="78" priority="177" operator="equal">
      <formula>"Baja"</formula>
    </cfRule>
    <cfRule type="cellIs" dxfId="77" priority="176" operator="equal">
      <formula>"Media"</formula>
    </cfRule>
    <cfRule type="cellIs" dxfId="76" priority="175" operator="equal">
      <formula>"Alta"</formula>
    </cfRule>
    <cfRule type="cellIs" dxfId="75" priority="174" operator="equal">
      <formula>"Muy Alta"</formula>
    </cfRule>
  </conditionalFormatting>
  <conditionalFormatting sqref="H37">
    <cfRule type="cellIs" dxfId="74" priority="146" operator="equal">
      <formula>"Muy Alta"</formula>
    </cfRule>
    <cfRule type="cellIs" dxfId="73" priority="147" operator="equal">
      <formula>"Alta"</formula>
    </cfRule>
    <cfRule type="cellIs" dxfId="72" priority="150" operator="equal">
      <formula>"Muy Baja"</formula>
    </cfRule>
    <cfRule type="cellIs" dxfId="71" priority="148" operator="equal">
      <formula>"Media"</formula>
    </cfRule>
    <cfRule type="cellIs" dxfId="70" priority="149" operator="equal">
      <formula>"Baja"</formula>
    </cfRule>
  </conditionalFormatting>
  <conditionalFormatting sqref="H43">
    <cfRule type="cellIs" dxfId="69" priority="120" operator="equal">
      <formula>"Media"</formula>
    </cfRule>
    <cfRule type="cellIs" dxfId="68" priority="118" operator="equal">
      <formula>"Muy Alta"</formula>
    </cfRule>
    <cfRule type="cellIs" dxfId="67" priority="119" operator="equal">
      <formula>"Alta"</formula>
    </cfRule>
    <cfRule type="cellIs" dxfId="66" priority="121" operator="equal">
      <formula>"Baja"</formula>
    </cfRule>
    <cfRule type="cellIs" dxfId="65" priority="122" operator="equal">
      <formula>"Muy Baja"</formula>
    </cfRule>
  </conditionalFormatting>
  <conditionalFormatting sqref="H49 H52">
    <cfRule type="cellIs" dxfId="64" priority="8" operator="equal">
      <formula>"Baja"</formula>
    </cfRule>
    <cfRule type="cellIs" dxfId="63" priority="5" operator="equal">
      <formula>"Muy Alta"</formula>
    </cfRule>
    <cfRule type="cellIs" dxfId="62" priority="6" operator="equal">
      <formula>"Alta"</formula>
    </cfRule>
    <cfRule type="cellIs" dxfId="61" priority="7" operator="equal">
      <formula>"Media"</formula>
    </cfRule>
    <cfRule type="cellIs" dxfId="60" priority="9" operator="equal">
      <formula>"Muy Baja"</formula>
    </cfRule>
  </conditionalFormatting>
  <conditionalFormatting sqref="H55">
    <cfRule type="cellIs" dxfId="59" priority="62" operator="equal">
      <formula>"Muy Alta"</formula>
    </cfRule>
    <cfRule type="cellIs" dxfId="58" priority="63" operator="equal">
      <formula>"Alta"</formula>
    </cfRule>
    <cfRule type="cellIs" dxfId="57" priority="64" operator="equal">
      <formula>"Media"</formula>
    </cfRule>
    <cfRule type="cellIs" dxfId="56" priority="65" operator="equal">
      <formula>"Baja"</formula>
    </cfRule>
    <cfRule type="cellIs" dxfId="55" priority="66" operator="equal">
      <formula>"Muy Baja"</formula>
    </cfRule>
  </conditionalFormatting>
  <conditionalFormatting sqref="H61">
    <cfRule type="cellIs" dxfId="54" priority="35" operator="equal">
      <formula>"Alta"</formula>
    </cfRule>
    <cfRule type="cellIs" dxfId="53" priority="34" operator="equal">
      <formula>"Muy Alta"</formula>
    </cfRule>
    <cfRule type="cellIs" dxfId="52" priority="36" operator="equal">
      <formula>"Media"</formula>
    </cfRule>
    <cfRule type="cellIs" dxfId="51" priority="37" operator="equal">
      <formula>"Baja"</formula>
    </cfRule>
    <cfRule type="cellIs" dxfId="50" priority="38" operator="equal">
      <formula>"Muy Baja"</formula>
    </cfRule>
  </conditionalFormatting>
  <conditionalFormatting sqref="K10:K66">
    <cfRule type="containsText" dxfId="49" priority="10" operator="containsText" text="❌">
      <formula>NOT(ISERROR(SEARCH("❌",K10)))</formula>
    </cfRule>
  </conditionalFormatting>
  <conditionalFormatting sqref="L10 AA10:AA66 L16 L22 L28 L34 L37 L43 L49 L52 L55 L61">
    <cfRule type="cellIs" dxfId="48" priority="326" operator="equal">
      <formula>"Menor"</formula>
    </cfRule>
    <cfRule type="cellIs" dxfId="47" priority="324" operator="equal">
      <formula>"Mayor"</formula>
    </cfRule>
    <cfRule type="cellIs" dxfId="46" priority="323" operator="equal">
      <formula>"Catastrófico"</formula>
    </cfRule>
    <cfRule type="cellIs" dxfId="45" priority="325" operator="equal">
      <formula>"Moderado"</formula>
    </cfRule>
    <cfRule type="cellIs" dxfId="44" priority="327" operator="equal">
      <formula>"Leve"</formula>
    </cfRule>
  </conditionalFormatting>
  <conditionalFormatting sqref="N10 AC10:AC66">
    <cfRule type="cellIs" dxfId="43" priority="322" operator="equal">
      <formula>"Bajo"</formula>
    </cfRule>
    <cfRule type="cellIs" dxfId="42" priority="321" operator="equal">
      <formula>"Moderado"</formula>
    </cfRule>
    <cfRule type="cellIs" dxfId="41" priority="319" operator="equal">
      <formula>"Extremo"</formula>
    </cfRule>
    <cfRule type="cellIs" dxfId="40" priority="320" operator="equal">
      <formula>"Alto"</formula>
    </cfRule>
  </conditionalFormatting>
  <conditionalFormatting sqref="N16">
    <cfRule type="cellIs" dxfId="39" priority="249" operator="equal">
      <formula>"Extremo"</formula>
    </cfRule>
    <cfRule type="cellIs" dxfId="38" priority="250" operator="equal">
      <formula>"Alto"</formula>
    </cfRule>
    <cfRule type="cellIs" dxfId="37" priority="251" operator="equal">
      <formula>"Moderado"</formula>
    </cfRule>
    <cfRule type="cellIs" dxfId="36" priority="252" operator="equal">
      <formula>"Bajo"</formula>
    </cfRule>
  </conditionalFormatting>
  <conditionalFormatting sqref="N22">
    <cfRule type="cellIs" dxfId="35" priority="221" operator="equal">
      <formula>"Extremo"</formula>
    </cfRule>
    <cfRule type="cellIs" dxfId="34" priority="222" operator="equal">
      <formula>"Alto"</formula>
    </cfRule>
    <cfRule type="cellIs" dxfId="33" priority="223" operator="equal">
      <formula>"Moderado"</formula>
    </cfRule>
    <cfRule type="cellIs" dxfId="32" priority="224" operator="equal">
      <formula>"Bajo"</formula>
    </cfRule>
  </conditionalFormatting>
  <conditionalFormatting sqref="N28">
    <cfRule type="cellIs" dxfId="31" priority="195" operator="equal">
      <formula>"Moderado"</formula>
    </cfRule>
    <cfRule type="cellIs" dxfId="30" priority="194" operator="equal">
      <formula>"Alto"</formula>
    </cfRule>
    <cfRule type="cellIs" dxfId="29" priority="193" operator="equal">
      <formula>"Extremo"</formula>
    </cfRule>
    <cfRule type="cellIs" dxfId="28" priority="196" operator="equal">
      <formula>"Bajo"</formula>
    </cfRule>
  </conditionalFormatting>
  <conditionalFormatting sqref="N34">
    <cfRule type="cellIs" dxfId="27" priority="165" operator="equal">
      <formula>"Extremo"</formula>
    </cfRule>
    <cfRule type="cellIs" dxfId="26" priority="166" operator="equal">
      <formula>"Alto"</formula>
    </cfRule>
    <cfRule type="cellIs" dxfId="25" priority="168" operator="equal">
      <formula>"Bajo"</formula>
    </cfRule>
    <cfRule type="cellIs" dxfId="24" priority="167" operator="equal">
      <formula>"Moderado"</formula>
    </cfRule>
  </conditionalFormatting>
  <conditionalFormatting sqref="N37">
    <cfRule type="cellIs" dxfId="23" priority="138" operator="equal">
      <formula>"Alto"</formula>
    </cfRule>
    <cfRule type="cellIs" dxfId="22" priority="137" operator="equal">
      <formula>"Extremo"</formula>
    </cfRule>
    <cfRule type="cellIs" dxfId="21" priority="139" operator="equal">
      <formula>"Moderado"</formula>
    </cfRule>
    <cfRule type="cellIs" dxfId="20" priority="140" operator="equal">
      <formula>"Bajo"</formula>
    </cfRule>
  </conditionalFormatting>
  <conditionalFormatting sqref="N43">
    <cfRule type="cellIs" dxfId="19" priority="110" operator="equal">
      <formula>"Alto"</formula>
    </cfRule>
    <cfRule type="cellIs" dxfId="18" priority="112" operator="equal">
      <formula>"Bajo"</formula>
    </cfRule>
    <cfRule type="cellIs" dxfId="17" priority="109" operator="equal">
      <formula>"Extremo"</formula>
    </cfRule>
    <cfRule type="cellIs" dxfId="16" priority="111" operator="equal">
      <formula>"Moderado"</formula>
    </cfRule>
  </conditionalFormatting>
  <conditionalFormatting sqref="N49 N52">
    <cfRule type="cellIs" dxfId="15" priority="3" operator="equal">
      <formula>"Moderado"</formula>
    </cfRule>
    <cfRule type="cellIs" dxfId="14" priority="4" operator="equal">
      <formula>"Bajo"</formula>
    </cfRule>
    <cfRule type="cellIs" dxfId="13" priority="1" operator="equal">
      <formula>"Extremo"</formula>
    </cfRule>
    <cfRule type="cellIs" dxfId="12" priority="2" operator="equal">
      <formula>"Alto"</formula>
    </cfRule>
  </conditionalFormatting>
  <conditionalFormatting sqref="N55">
    <cfRule type="cellIs" dxfId="11" priority="55" operator="equal">
      <formula>"Moderado"</formula>
    </cfRule>
    <cfRule type="cellIs" dxfId="10" priority="56" operator="equal">
      <formula>"Bajo"</formula>
    </cfRule>
    <cfRule type="cellIs" dxfId="9" priority="54" operator="equal">
      <formula>"Alto"</formula>
    </cfRule>
    <cfRule type="cellIs" dxfId="8" priority="53" operator="equal">
      <formula>"Extremo"</formula>
    </cfRule>
  </conditionalFormatting>
  <conditionalFormatting sqref="N61">
    <cfRule type="cellIs" dxfId="7" priority="25" operator="equal">
      <formula>"Extremo"</formula>
    </cfRule>
    <cfRule type="cellIs" dxfId="6" priority="27" operator="equal">
      <formula>"Moderado"</formula>
    </cfRule>
    <cfRule type="cellIs" dxfId="5" priority="28" operator="equal">
      <formula>"Bajo"</formula>
    </cfRule>
    <cfRule type="cellIs" dxfId="4" priority="26" operator="equal">
      <formula>"Alto"</formula>
    </cfRule>
  </conditionalFormatting>
  <pageMargins left="0.7" right="0.7" top="0.75" bottom="0.75" header="0.3" footer="0.3"/>
  <pageSetup orientation="portrait" r:id="rId1"/>
  <ignoredErrors>
    <ignoredError sqref="AB1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398" t="s">
        <v>158</v>
      </c>
      <c r="C2" s="398"/>
      <c r="D2" s="398"/>
      <c r="E2" s="398"/>
      <c r="F2" s="398"/>
      <c r="G2" s="398"/>
      <c r="H2" s="398"/>
      <c r="I2" s="398"/>
      <c r="J2" s="435" t="s">
        <v>2</v>
      </c>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398"/>
      <c r="C3" s="398"/>
      <c r="D3" s="398"/>
      <c r="E3" s="398"/>
      <c r="F3" s="398"/>
      <c r="G3" s="398"/>
      <c r="H3" s="398"/>
      <c r="I3" s="398"/>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398"/>
      <c r="C4" s="398"/>
      <c r="D4" s="398"/>
      <c r="E4" s="398"/>
      <c r="F4" s="398"/>
      <c r="G4" s="398"/>
      <c r="H4" s="398"/>
      <c r="I4" s="398"/>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446" t="s">
        <v>4</v>
      </c>
      <c r="C6" s="446"/>
      <c r="D6" s="447"/>
      <c r="E6" s="436" t="s">
        <v>115</v>
      </c>
      <c r="F6" s="437"/>
      <c r="G6" s="437"/>
      <c r="H6" s="437"/>
      <c r="I6" s="438"/>
      <c r="J6" s="432" t="str">
        <f ca="1">IF(AND('Mapa final'!$H$10="Muy Alta",'Mapa final'!$L$10="Leve"),CONCATENATE("R",'Mapa final'!$A$10),"")</f>
        <v/>
      </c>
      <c r="K6" s="433"/>
      <c r="L6" s="433" t="str">
        <f ca="1">IF(AND('Mapa final'!$H$16="Muy Alta",'Mapa final'!$L$16="Leve"),CONCATENATE("R",'Mapa final'!$A$16),"")</f>
        <v/>
      </c>
      <c r="M6" s="433"/>
      <c r="N6" s="433" t="str">
        <f ca="1">IF(AND('Mapa final'!$H$22="Muy Alta",'Mapa final'!$L$22="Leve"),CONCATENATE("R",'Mapa final'!$A$22),"")</f>
        <v/>
      </c>
      <c r="O6" s="434"/>
      <c r="P6" s="432" t="str">
        <f ca="1">IF(AND('Mapa final'!$H$10="Muy Alta",'Mapa final'!$L$10="Menor"),CONCATENATE("R",'Mapa final'!$A$10),"")</f>
        <v/>
      </c>
      <c r="Q6" s="433"/>
      <c r="R6" s="433" t="str">
        <f ca="1">IF(AND('Mapa final'!$H$16="Muy Alta",'Mapa final'!$L$16="Menor"),CONCATENATE("R",'Mapa final'!$A$16),"")</f>
        <v/>
      </c>
      <c r="S6" s="433"/>
      <c r="T6" s="433" t="str">
        <f ca="1">IF(AND('Mapa final'!$H$22="Muy Alta",'Mapa final'!$L$22="Menor"),CONCATENATE("R",'Mapa final'!$A$22),"")</f>
        <v/>
      </c>
      <c r="U6" s="434"/>
      <c r="V6" s="432" t="str">
        <f ca="1">IF(AND('Mapa final'!$H$10="Muy Alta",'Mapa final'!$L$10="Moderado"),CONCATENATE("R",'Mapa final'!$A$10),"")</f>
        <v/>
      </c>
      <c r="W6" s="433"/>
      <c r="X6" s="433" t="str">
        <f ca="1">IF(AND('Mapa final'!$H$16="Muy Alta",'Mapa final'!$L$16="Moderado"),CONCATENATE("R",'Mapa final'!$A$16),"")</f>
        <v/>
      </c>
      <c r="Y6" s="433"/>
      <c r="Z6" s="433" t="str">
        <f ca="1">IF(AND('Mapa final'!$H$22="Muy Alta",'Mapa final'!$L$22="Moderado"),CONCATENATE("R",'Mapa final'!$A$22),"")</f>
        <v/>
      </c>
      <c r="AA6" s="434"/>
      <c r="AB6" s="432" t="str">
        <f ca="1">IF(AND('Mapa final'!$H$10="Muy Alta",'Mapa final'!$L$10="Mayor"),CONCATENATE("R",'Mapa final'!$A$10),"")</f>
        <v/>
      </c>
      <c r="AC6" s="433"/>
      <c r="AD6" s="433" t="str">
        <f ca="1">IF(AND('Mapa final'!$H$16="Muy Alta",'Mapa final'!$L$16="Mayor"),CONCATENATE("R",'Mapa final'!$A$16),"")</f>
        <v/>
      </c>
      <c r="AE6" s="433"/>
      <c r="AF6" s="433" t="str">
        <f ca="1">IF(AND('Mapa final'!$H$22="Muy Alta",'Mapa final'!$L$22="Mayor"),CONCATENATE("R",'Mapa final'!$A$22),"")</f>
        <v/>
      </c>
      <c r="AG6" s="434"/>
      <c r="AH6" s="423" t="str">
        <f ca="1">IF(AND('Mapa final'!$H$10="Muy Alta",'Mapa final'!$L$10="Catastrófico"),CONCATENATE("R",'Mapa final'!$A$10),"")</f>
        <v/>
      </c>
      <c r="AI6" s="424"/>
      <c r="AJ6" s="424" t="str">
        <f ca="1">IF(AND('Mapa final'!$H$16="Muy Alta",'Mapa final'!$L$16="Catastrófico"),CONCATENATE("R",'Mapa final'!$A$16),"")</f>
        <v/>
      </c>
      <c r="AK6" s="424"/>
      <c r="AL6" s="424" t="str">
        <f ca="1">IF(AND('Mapa final'!$H$22="Muy Alta",'Mapa final'!$L$22="Catastrófico"),CONCATENATE("R",'Mapa final'!$A$22),"")</f>
        <v/>
      </c>
      <c r="AM6" s="425"/>
      <c r="AO6" s="448" t="s">
        <v>78</v>
      </c>
      <c r="AP6" s="449"/>
      <c r="AQ6" s="449"/>
      <c r="AR6" s="449"/>
      <c r="AS6" s="449"/>
      <c r="AT6" s="450"/>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446"/>
      <c r="C7" s="446"/>
      <c r="D7" s="447"/>
      <c r="E7" s="439"/>
      <c r="F7" s="440"/>
      <c r="G7" s="440"/>
      <c r="H7" s="440"/>
      <c r="I7" s="441"/>
      <c r="J7" s="426"/>
      <c r="K7" s="427"/>
      <c r="L7" s="427"/>
      <c r="M7" s="427"/>
      <c r="N7" s="427"/>
      <c r="O7" s="428"/>
      <c r="P7" s="426"/>
      <c r="Q7" s="427"/>
      <c r="R7" s="427"/>
      <c r="S7" s="427"/>
      <c r="T7" s="427"/>
      <c r="U7" s="428"/>
      <c r="V7" s="426"/>
      <c r="W7" s="427"/>
      <c r="X7" s="427"/>
      <c r="Y7" s="427"/>
      <c r="Z7" s="427"/>
      <c r="AA7" s="428"/>
      <c r="AB7" s="426"/>
      <c r="AC7" s="427"/>
      <c r="AD7" s="427"/>
      <c r="AE7" s="427"/>
      <c r="AF7" s="427"/>
      <c r="AG7" s="428"/>
      <c r="AH7" s="417"/>
      <c r="AI7" s="418"/>
      <c r="AJ7" s="418"/>
      <c r="AK7" s="418"/>
      <c r="AL7" s="418"/>
      <c r="AM7" s="419"/>
      <c r="AN7" s="82"/>
      <c r="AO7" s="451"/>
      <c r="AP7" s="452"/>
      <c r="AQ7" s="452"/>
      <c r="AR7" s="452"/>
      <c r="AS7" s="452"/>
      <c r="AT7" s="453"/>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446"/>
      <c r="C8" s="446"/>
      <c r="D8" s="447"/>
      <c r="E8" s="439"/>
      <c r="F8" s="440"/>
      <c r="G8" s="440"/>
      <c r="H8" s="440"/>
      <c r="I8" s="441"/>
      <c r="J8" s="426" t="str">
        <f ca="1">IF(AND('Mapa final'!$H$28="Muy Alta",'Mapa final'!$L$28="Leve"),CONCATENATE("R",'Mapa final'!$A$28),"")</f>
        <v/>
      </c>
      <c r="K8" s="427"/>
      <c r="L8" s="427" t="str">
        <f ca="1">IF(AND('Mapa final'!$H$34="Muy Alta",'Mapa final'!$L$34="Leve"),CONCATENATE("R",'Mapa final'!$A$34),"")</f>
        <v/>
      </c>
      <c r="M8" s="427"/>
      <c r="N8" s="427" t="str">
        <f ca="1">IF(AND('Mapa final'!$H$37="Muy Alta",'Mapa final'!$L$37="Leve"),CONCATENATE("R",'Mapa final'!$A$37),"")</f>
        <v/>
      </c>
      <c r="O8" s="428"/>
      <c r="P8" s="426" t="str">
        <f ca="1">IF(AND('Mapa final'!$H$28="Muy Alta",'Mapa final'!$L$28="Menor"),CONCATENATE("R",'Mapa final'!$A$28),"")</f>
        <v/>
      </c>
      <c r="Q8" s="427"/>
      <c r="R8" s="427" t="str">
        <f ca="1">IF(AND('Mapa final'!$H$34="Muy Alta",'Mapa final'!$L$34="Menor"),CONCATENATE("R",'Mapa final'!$A$34),"")</f>
        <v/>
      </c>
      <c r="S8" s="427"/>
      <c r="T8" s="427" t="str">
        <f ca="1">IF(AND('Mapa final'!$H$37="Muy Alta",'Mapa final'!$L$37="Menor"),CONCATENATE("R",'Mapa final'!$A$37),"")</f>
        <v/>
      </c>
      <c r="U8" s="428"/>
      <c r="V8" s="426" t="str">
        <f ca="1">IF(AND('Mapa final'!$H$28="Muy Alta",'Mapa final'!$L$28="Moderado"),CONCATENATE("R",'Mapa final'!$A$28),"")</f>
        <v/>
      </c>
      <c r="W8" s="427"/>
      <c r="X8" s="427" t="str">
        <f ca="1">IF(AND('Mapa final'!$H$34="Muy Alta",'Mapa final'!$L$34="Moderado"),CONCATENATE("R",'Mapa final'!$A$34),"")</f>
        <v/>
      </c>
      <c r="Y8" s="427"/>
      <c r="Z8" s="427" t="str">
        <f ca="1">IF(AND('Mapa final'!$H$37="Muy Alta",'Mapa final'!$L$37="Moderado"),CONCATENATE("R",'Mapa final'!$A$37),"")</f>
        <v/>
      </c>
      <c r="AA8" s="428"/>
      <c r="AB8" s="426" t="str">
        <f ca="1">IF(AND('Mapa final'!$H$28="Muy Alta",'Mapa final'!$L$28="Mayor"),CONCATENATE("R",'Mapa final'!$A$28),"")</f>
        <v/>
      </c>
      <c r="AC8" s="427"/>
      <c r="AD8" s="427" t="str">
        <f ca="1">IF(AND('Mapa final'!$H$34="Muy Alta",'Mapa final'!$L$34="Mayor"),CONCATENATE("R",'Mapa final'!$A$34),"")</f>
        <v/>
      </c>
      <c r="AE8" s="427"/>
      <c r="AF8" s="427" t="str">
        <f ca="1">IF(AND('Mapa final'!$H$37="Muy Alta",'Mapa final'!$L$37="Mayor"),CONCATENATE("R",'Mapa final'!$A$37),"")</f>
        <v/>
      </c>
      <c r="AG8" s="428"/>
      <c r="AH8" s="417" t="str">
        <f ca="1">IF(AND('Mapa final'!$H$28="Muy Alta",'Mapa final'!$L$28="Catastrófico"),CONCATENATE("R",'Mapa final'!$A$28),"")</f>
        <v/>
      </c>
      <c r="AI8" s="418"/>
      <c r="AJ8" s="418" t="str">
        <f ca="1">IF(AND('Mapa final'!$H$34="Muy Alta",'Mapa final'!$L$34="Catastrófico"),CONCATENATE("R",'Mapa final'!$A$34),"")</f>
        <v/>
      </c>
      <c r="AK8" s="418"/>
      <c r="AL8" s="418" t="str">
        <f ca="1">IF(AND('Mapa final'!$H$37="Muy Alta",'Mapa final'!$L$37="Catastrófico"),CONCATENATE("R",'Mapa final'!$A$37),"")</f>
        <v/>
      </c>
      <c r="AM8" s="419"/>
      <c r="AN8" s="82"/>
      <c r="AO8" s="451"/>
      <c r="AP8" s="452"/>
      <c r="AQ8" s="452"/>
      <c r="AR8" s="452"/>
      <c r="AS8" s="452"/>
      <c r="AT8" s="453"/>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446"/>
      <c r="C9" s="446"/>
      <c r="D9" s="447"/>
      <c r="E9" s="439"/>
      <c r="F9" s="440"/>
      <c r="G9" s="440"/>
      <c r="H9" s="440"/>
      <c r="I9" s="441"/>
      <c r="J9" s="426"/>
      <c r="K9" s="427"/>
      <c r="L9" s="427"/>
      <c r="M9" s="427"/>
      <c r="N9" s="427"/>
      <c r="O9" s="428"/>
      <c r="P9" s="426"/>
      <c r="Q9" s="427"/>
      <c r="R9" s="427"/>
      <c r="S9" s="427"/>
      <c r="T9" s="427"/>
      <c r="U9" s="428"/>
      <c r="V9" s="426"/>
      <c r="W9" s="427"/>
      <c r="X9" s="427"/>
      <c r="Y9" s="427"/>
      <c r="Z9" s="427"/>
      <c r="AA9" s="428"/>
      <c r="AB9" s="426"/>
      <c r="AC9" s="427"/>
      <c r="AD9" s="427"/>
      <c r="AE9" s="427"/>
      <c r="AF9" s="427"/>
      <c r="AG9" s="428"/>
      <c r="AH9" s="417"/>
      <c r="AI9" s="418"/>
      <c r="AJ9" s="418"/>
      <c r="AK9" s="418"/>
      <c r="AL9" s="418"/>
      <c r="AM9" s="419"/>
      <c r="AN9" s="82"/>
      <c r="AO9" s="451"/>
      <c r="AP9" s="452"/>
      <c r="AQ9" s="452"/>
      <c r="AR9" s="452"/>
      <c r="AS9" s="452"/>
      <c r="AT9" s="453"/>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446"/>
      <c r="C10" s="446"/>
      <c r="D10" s="447"/>
      <c r="E10" s="439"/>
      <c r="F10" s="440"/>
      <c r="G10" s="440"/>
      <c r="H10" s="440"/>
      <c r="I10" s="441"/>
      <c r="J10" s="426" t="str">
        <f ca="1">IF(AND('Mapa final'!$H$43="Muy Alta",'Mapa final'!$L$43="Leve"),CONCATENATE("R",'Mapa final'!$A$43),"")</f>
        <v/>
      </c>
      <c r="K10" s="427"/>
      <c r="L10" s="427" t="str">
        <f ca="1">IF(AND('Mapa final'!$H$49="Muy Alta",'Mapa final'!$L$49="Leve"),CONCATENATE("R",'Mapa final'!$A$49),"")</f>
        <v/>
      </c>
      <c r="M10" s="427"/>
      <c r="N10" s="427" t="str">
        <f>IF(AND('Mapa final'!$H$55="Muy Alta",'Mapa final'!$L$55="Leve"),CONCATENATE("R",'Mapa final'!$A$55),"")</f>
        <v/>
      </c>
      <c r="O10" s="428"/>
      <c r="P10" s="426" t="str">
        <f ca="1">IF(AND('Mapa final'!$H$43="Muy Alta",'Mapa final'!$L$43="Menor"),CONCATENATE("R",'Mapa final'!$A$43),"")</f>
        <v/>
      </c>
      <c r="Q10" s="427"/>
      <c r="R10" s="427" t="str">
        <f ca="1">IF(AND('Mapa final'!$H$49="Muy Alta",'Mapa final'!$L$49="Menor"),CONCATENATE("R",'Mapa final'!$A$49),"")</f>
        <v/>
      </c>
      <c r="S10" s="427"/>
      <c r="T10" s="427" t="str">
        <f>IF(AND('Mapa final'!$H$55="Muy Alta",'Mapa final'!$L$55="Menor"),CONCATENATE("R",'Mapa final'!$A$55),"")</f>
        <v/>
      </c>
      <c r="U10" s="428"/>
      <c r="V10" s="426" t="str">
        <f ca="1">IF(AND('Mapa final'!$H$43="Muy Alta",'Mapa final'!$L$43="Moderado"),CONCATENATE("R",'Mapa final'!$A$43),"")</f>
        <v/>
      </c>
      <c r="W10" s="427"/>
      <c r="X10" s="427" t="str">
        <f ca="1">IF(AND('Mapa final'!$H$49="Muy Alta",'Mapa final'!$L$49="Moderado"),CONCATENATE("R",'Mapa final'!$A$49),"")</f>
        <v/>
      </c>
      <c r="Y10" s="427"/>
      <c r="Z10" s="427" t="str">
        <f>IF(AND('Mapa final'!$H$55="Muy Alta",'Mapa final'!$L$55="Moderado"),CONCATENATE("R",'Mapa final'!$A$55),"")</f>
        <v/>
      </c>
      <c r="AA10" s="428"/>
      <c r="AB10" s="426" t="str">
        <f ca="1">IF(AND('Mapa final'!$H$43="Muy Alta",'Mapa final'!$L$43="Mayor"),CONCATENATE("R",'Mapa final'!$A$43),"")</f>
        <v/>
      </c>
      <c r="AC10" s="427"/>
      <c r="AD10" s="427" t="str">
        <f ca="1">IF(AND('Mapa final'!$H$49="Muy Alta",'Mapa final'!$L$49="Mayor"),CONCATENATE("R",'Mapa final'!$A$49),"")</f>
        <v/>
      </c>
      <c r="AE10" s="427"/>
      <c r="AF10" s="427" t="str">
        <f>IF(AND('Mapa final'!$H$55="Muy Alta",'Mapa final'!$L$55="Mayor"),CONCATENATE("R",'Mapa final'!$A$55),"")</f>
        <v/>
      </c>
      <c r="AG10" s="428"/>
      <c r="AH10" s="417" t="str">
        <f ca="1">IF(AND('Mapa final'!$H$43="Muy Alta",'Mapa final'!$L$43="Catastrófico"),CONCATENATE("R",'Mapa final'!$A$43),"")</f>
        <v/>
      </c>
      <c r="AI10" s="418"/>
      <c r="AJ10" s="418" t="str">
        <f ca="1">IF(AND('Mapa final'!$H$49="Muy Alta",'Mapa final'!$L$49="Catastrófico"),CONCATENATE("R",'Mapa final'!$A$49),"")</f>
        <v/>
      </c>
      <c r="AK10" s="418"/>
      <c r="AL10" s="418" t="str">
        <f>IF(AND('Mapa final'!$H$55="Muy Alta",'Mapa final'!$L$55="Catastrófico"),CONCATENATE("R",'Mapa final'!$A$55),"")</f>
        <v/>
      </c>
      <c r="AM10" s="419"/>
      <c r="AN10" s="82"/>
      <c r="AO10" s="451"/>
      <c r="AP10" s="452"/>
      <c r="AQ10" s="452"/>
      <c r="AR10" s="452"/>
      <c r="AS10" s="452"/>
      <c r="AT10" s="453"/>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446"/>
      <c r="C11" s="446"/>
      <c r="D11" s="447"/>
      <c r="E11" s="439"/>
      <c r="F11" s="440"/>
      <c r="G11" s="440"/>
      <c r="H11" s="440"/>
      <c r="I11" s="441"/>
      <c r="J11" s="426"/>
      <c r="K11" s="427"/>
      <c r="L11" s="427"/>
      <c r="M11" s="427"/>
      <c r="N11" s="427"/>
      <c r="O11" s="428"/>
      <c r="P11" s="426"/>
      <c r="Q11" s="427"/>
      <c r="R11" s="427"/>
      <c r="S11" s="427"/>
      <c r="T11" s="427"/>
      <c r="U11" s="428"/>
      <c r="V11" s="426"/>
      <c r="W11" s="427"/>
      <c r="X11" s="427"/>
      <c r="Y11" s="427"/>
      <c r="Z11" s="427"/>
      <c r="AA11" s="428"/>
      <c r="AB11" s="426"/>
      <c r="AC11" s="427"/>
      <c r="AD11" s="427"/>
      <c r="AE11" s="427"/>
      <c r="AF11" s="427"/>
      <c r="AG11" s="428"/>
      <c r="AH11" s="417"/>
      <c r="AI11" s="418"/>
      <c r="AJ11" s="418"/>
      <c r="AK11" s="418"/>
      <c r="AL11" s="418"/>
      <c r="AM11" s="419"/>
      <c r="AN11" s="82"/>
      <c r="AO11" s="451"/>
      <c r="AP11" s="452"/>
      <c r="AQ11" s="452"/>
      <c r="AR11" s="452"/>
      <c r="AS11" s="452"/>
      <c r="AT11" s="453"/>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446"/>
      <c r="C12" s="446"/>
      <c r="D12" s="447"/>
      <c r="E12" s="439"/>
      <c r="F12" s="440"/>
      <c r="G12" s="440"/>
      <c r="H12" s="440"/>
      <c r="I12" s="441"/>
      <c r="J12" s="426" t="str">
        <f ca="1">IF(AND('Mapa final'!$H$61="Muy Alta",'Mapa final'!$L$61="Leve"),CONCATENATE("R",'Mapa final'!$A$61),"")</f>
        <v/>
      </c>
      <c r="K12" s="427"/>
      <c r="L12" s="427" t="str">
        <f>IF(AND('Mapa final'!$H$67="Muy Alta",'Mapa final'!$L$67="Leve"),CONCATENATE("R",'Mapa final'!$A$67),"")</f>
        <v/>
      </c>
      <c r="M12" s="427"/>
      <c r="N12" s="427" t="str">
        <f>IF(AND('Mapa final'!$H$73="Muy Alta",'Mapa final'!$L$73="Leve"),CONCATENATE("R",'Mapa final'!$A$73),"")</f>
        <v/>
      </c>
      <c r="O12" s="428"/>
      <c r="P12" s="426" t="str">
        <f ca="1">IF(AND('Mapa final'!$H$61="Muy Alta",'Mapa final'!$L$61="Menor"),CONCATENATE("R",'Mapa final'!$A$61),"")</f>
        <v/>
      </c>
      <c r="Q12" s="427"/>
      <c r="R12" s="427" t="str">
        <f>IF(AND('Mapa final'!$H$67="Muy Alta",'Mapa final'!$L$67="Menor"),CONCATENATE("R",'Mapa final'!$A$67),"")</f>
        <v/>
      </c>
      <c r="S12" s="427"/>
      <c r="T12" s="427" t="str">
        <f>IF(AND('Mapa final'!$H$73="Muy Alta",'Mapa final'!$L$73="Menor"),CONCATENATE("R",'Mapa final'!$A$73),"")</f>
        <v/>
      </c>
      <c r="U12" s="428"/>
      <c r="V12" s="426" t="str">
        <f ca="1">IF(AND('Mapa final'!$H$61="Muy Alta",'Mapa final'!$L$61="Moderado"),CONCATENATE("R",'Mapa final'!$A$61),"")</f>
        <v/>
      </c>
      <c r="W12" s="427"/>
      <c r="X12" s="427" t="str">
        <f>IF(AND('Mapa final'!$H$67="Muy Alta",'Mapa final'!$L$67="Moderado"),CONCATENATE("R",'Mapa final'!$A$67),"")</f>
        <v/>
      </c>
      <c r="Y12" s="427"/>
      <c r="Z12" s="427" t="str">
        <f>IF(AND('Mapa final'!$H$73="Muy Alta",'Mapa final'!$L$73="Moderado"),CONCATENATE("R",'Mapa final'!$A$73),"")</f>
        <v/>
      </c>
      <c r="AA12" s="428"/>
      <c r="AB12" s="426" t="str">
        <f ca="1">IF(AND('Mapa final'!$H$61="Muy Alta",'Mapa final'!$L$61="Mayor"),CONCATENATE("R",'Mapa final'!$A$61),"")</f>
        <v/>
      </c>
      <c r="AC12" s="427"/>
      <c r="AD12" s="427" t="str">
        <f>IF(AND('Mapa final'!$H$67="Muy Alta",'Mapa final'!$L$67="Mayor"),CONCATENATE("R",'Mapa final'!$A$67),"")</f>
        <v/>
      </c>
      <c r="AE12" s="427"/>
      <c r="AF12" s="427" t="str">
        <f>IF(AND('Mapa final'!$H$73="Muy Alta",'Mapa final'!$L$73="Mayor"),CONCATENATE("R",'Mapa final'!$A$73),"")</f>
        <v/>
      </c>
      <c r="AG12" s="428"/>
      <c r="AH12" s="417" t="str">
        <f ca="1">IF(AND('Mapa final'!$H$61="Muy Alta",'Mapa final'!$L$61="Catastrófico"),CONCATENATE("R",'Mapa final'!$A$61),"")</f>
        <v/>
      </c>
      <c r="AI12" s="418"/>
      <c r="AJ12" s="418" t="str">
        <f>IF(AND('Mapa final'!$H$67="Muy Alta",'Mapa final'!$L$67="Catastrófico"),CONCATENATE("R",'Mapa final'!$A$67),"")</f>
        <v/>
      </c>
      <c r="AK12" s="418"/>
      <c r="AL12" s="418" t="str">
        <f>IF(AND('Mapa final'!$H$73="Muy Alta",'Mapa final'!$L$73="Catastrófico"),CONCATENATE("R",'Mapa final'!$A$73),"")</f>
        <v/>
      </c>
      <c r="AM12" s="419"/>
      <c r="AN12" s="82"/>
      <c r="AO12" s="451"/>
      <c r="AP12" s="452"/>
      <c r="AQ12" s="452"/>
      <c r="AR12" s="452"/>
      <c r="AS12" s="452"/>
      <c r="AT12" s="453"/>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446"/>
      <c r="C13" s="446"/>
      <c r="D13" s="447"/>
      <c r="E13" s="442"/>
      <c r="F13" s="443"/>
      <c r="G13" s="443"/>
      <c r="H13" s="443"/>
      <c r="I13" s="444"/>
      <c r="J13" s="426"/>
      <c r="K13" s="427"/>
      <c r="L13" s="427"/>
      <c r="M13" s="427"/>
      <c r="N13" s="427"/>
      <c r="O13" s="428"/>
      <c r="P13" s="426"/>
      <c r="Q13" s="427"/>
      <c r="R13" s="427"/>
      <c r="S13" s="427"/>
      <c r="T13" s="427"/>
      <c r="U13" s="428"/>
      <c r="V13" s="426"/>
      <c r="W13" s="427"/>
      <c r="X13" s="427"/>
      <c r="Y13" s="427"/>
      <c r="Z13" s="427"/>
      <c r="AA13" s="428"/>
      <c r="AB13" s="426"/>
      <c r="AC13" s="427"/>
      <c r="AD13" s="427"/>
      <c r="AE13" s="427"/>
      <c r="AF13" s="427"/>
      <c r="AG13" s="428"/>
      <c r="AH13" s="420"/>
      <c r="AI13" s="421"/>
      <c r="AJ13" s="421"/>
      <c r="AK13" s="421"/>
      <c r="AL13" s="421"/>
      <c r="AM13" s="422"/>
      <c r="AN13" s="82"/>
      <c r="AO13" s="454"/>
      <c r="AP13" s="455"/>
      <c r="AQ13" s="455"/>
      <c r="AR13" s="455"/>
      <c r="AS13" s="455"/>
      <c r="AT13" s="456"/>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446"/>
      <c r="C14" s="446"/>
      <c r="D14" s="447"/>
      <c r="E14" s="436" t="s">
        <v>114</v>
      </c>
      <c r="F14" s="437"/>
      <c r="G14" s="437"/>
      <c r="H14" s="437"/>
      <c r="I14" s="437"/>
      <c r="J14" s="414" t="str">
        <f ca="1">IF(AND('Mapa final'!$H$10="Alta",'Mapa final'!$L$10="Leve"),CONCATENATE("R",'Mapa final'!$A$10),"")</f>
        <v/>
      </c>
      <c r="K14" s="415"/>
      <c r="L14" s="415" t="str">
        <f ca="1">IF(AND('Mapa final'!$H$16="Alta",'Mapa final'!$L$16="Leve"),CONCATENATE("R",'Mapa final'!$A$16),"")</f>
        <v/>
      </c>
      <c r="M14" s="415"/>
      <c r="N14" s="415" t="str">
        <f ca="1">IF(AND('Mapa final'!$H$22="Alta",'Mapa final'!$L$22="Leve"),CONCATENATE("R",'Mapa final'!$A$22),"")</f>
        <v/>
      </c>
      <c r="O14" s="416"/>
      <c r="P14" s="414" t="str">
        <f ca="1">IF(AND('Mapa final'!$H$10="Alta",'Mapa final'!$L$10="Menor"),CONCATENATE("R",'Mapa final'!$A$10),"")</f>
        <v/>
      </c>
      <c r="Q14" s="415"/>
      <c r="R14" s="415" t="str">
        <f ca="1">IF(AND('Mapa final'!$H$16="Alta",'Mapa final'!$L$16="Menor"),CONCATENATE("R",'Mapa final'!$A$16),"")</f>
        <v/>
      </c>
      <c r="S14" s="415"/>
      <c r="T14" s="415" t="str">
        <f ca="1">IF(AND('Mapa final'!$H$22="Alta",'Mapa final'!$L$22="Menor"),CONCATENATE("R",'Mapa final'!$A$22),"")</f>
        <v/>
      </c>
      <c r="U14" s="416"/>
      <c r="V14" s="432" t="str">
        <f ca="1">IF(AND('Mapa final'!$H$10="Alta",'Mapa final'!$L$10="Moderado"),CONCATENATE("R",'Mapa final'!$A$10),"")</f>
        <v/>
      </c>
      <c r="W14" s="433"/>
      <c r="X14" s="433" t="str">
        <f ca="1">IF(AND('Mapa final'!$H$16="Alta",'Mapa final'!$L$16="Moderado"),CONCATENATE("R",'Mapa final'!$A$16),"")</f>
        <v/>
      </c>
      <c r="Y14" s="433"/>
      <c r="Z14" s="433" t="str">
        <f ca="1">IF(AND('Mapa final'!$H$22="Alta",'Mapa final'!$L$22="Moderado"),CONCATENATE("R",'Mapa final'!$A$22),"")</f>
        <v/>
      </c>
      <c r="AA14" s="434"/>
      <c r="AB14" s="432" t="str">
        <f ca="1">IF(AND('Mapa final'!$H$10="Alta",'Mapa final'!$L$10="Mayor"),CONCATENATE("R",'Mapa final'!$A$10),"")</f>
        <v/>
      </c>
      <c r="AC14" s="433"/>
      <c r="AD14" s="433" t="str">
        <f ca="1">IF(AND('Mapa final'!$H$16="Alta",'Mapa final'!$L$16="Mayor"),CONCATENATE("R",'Mapa final'!$A$16),"")</f>
        <v/>
      </c>
      <c r="AE14" s="433"/>
      <c r="AF14" s="433" t="str">
        <f ca="1">IF(AND('Mapa final'!$H$22="Alta",'Mapa final'!$L$22="Mayor"),CONCATENATE("R",'Mapa final'!$A$22),"")</f>
        <v/>
      </c>
      <c r="AG14" s="434"/>
      <c r="AH14" s="423" t="str">
        <f ca="1">IF(AND('Mapa final'!$H$10="Alta",'Mapa final'!$L$10="Catastrófico"),CONCATENATE("R",'Mapa final'!$A$10),"")</f>
        <v/>
      </c>
      <c r="AI14" s="424"/>
      <c r="AJ14" s="424" t="str">
        <f ca="1">IF(AND('Mapa final'!$H$16="Alta",'Mapa final'!$L$16="Catastrófico"),CONCATENATE("R",'Mapa final'!$A$16),"")</f>
        <v/>
      </c>
      <c r="AK14" s="424"/>
      <c r="AL14" s="424" t="str">
        <f ca="1">IF(AND('Mapa final'!$H$22="Alta",'Mapa final'!$L$22="Catastrófico"),CONCATENATE("R",'Mapa final'!$A$22),"")</f>
        <v/>
      </c>
      <c r="AM14" s="425"/>
      <c r="AN14" s="82"/>
      <c r="AO14" s="457" t="s">
        <v>79</v>
      </c>
      <c r="AP14" s="458"/>
      <c r="AQ14" s="458"/>
      <c r="AR14" s="458"/>
      <c r="AS14" s="458"/>
      <c r="AT14" s="459"/>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446"/>
      <c r="C15" s="446"/>
      <c r="D15" s="447"/>
      <c r="E15" s="439"/>
      <c r="F15" s="440"/>
      <c r="G15" s="440"/>
      <c r="H15" s="440"/>
      <c r="I15" s="440"/>
      <c r="J15" s="408"/>
      <c r="K15" s="409"/>
      <c r="L15" s="409"/>
      <c r="M15" s="409"/>
      <c r="N15" s="409"/>
      <c r="O15" s="410"/>
      <c r="P15" s="408"/>
      <c r="Q15" s="409"/>
      <c r="R15" s="409"/>
      <c r="S15" s="409"/>
      <c r="T15" s="409"/>
      <c r="U15" s="410"/>
      <c r="V15" s="426"/>
      <c r="W15" s="427"/>
      <c r="X15" s="427"/>
      <c r="Y15" s="427"/>
      <c r="Z15" s="427"/>
      <c r="AA15" s="428"/>
      <c r="AB15" s="426"/>
      <c r="AC15" s="427"/>
      <c r="AD15" s="427"/>
      <c r="AE15" s="427"/>
      <c r="AF15" s="427"/>
      <c r="AG15" s="428"/>
      <c r="AH15" s="417"/>
      <c r="AI15" s="418"/>
      <c r="AJ15" s="418"/>
      <c r="AK15" s="418"/>
      <c r="AL15" s="418"/>
      <c r="AM15" s="419"/>
      <c r="AN15" s="82"/>
      <c r="AO15" s="460"/>
      <c r="AP15" s="461"/>
      <c r="AQ15" s="461"/>
      <c r="AR15" s="461"/>
      <c r="AS15" s="461"/>
      <c r="AT15" s="46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446"/>
      <c r="C16" s="446"/>
      <c r="D16" s="447"/>
      <c r="E16" s="439"/>
      <c r="F16" s="440"/>
      <c r="G16" s="440"/>
      <c r="H16" s="440"/>
      <c r="I16" s="440"/>
      <c r="J16" s="408" t="str">
        <f ca="1">IF(AND('Mapa final'!$H$28="Alta",'Mapa final'!$L$28="Leve"),CONCATENATE("R",'Mapa final'!$A$28),"")</f>
        <v/>
      </c>
      <c r="K16" s="409"/>
      <c r="L16" s="409" t="str">
        <f ca="1">IF(AND('Mapa final'!$H$34="Alta",'Mapa final'!$L$34="Leve"),CONCATENATE("R",'Mapa final'!$A$34),"")</f>
        <v/>
      </c>
      <c r="M16" s="409"/>
      <c r="N16" s="409" t="str">
        <f ca="1">IF(AND('Mapa final'!$H$37="Alta",'Mapa final'!$L$37="Leve"),CONCATENATE("R",'Mapa final'!$A$37),"")</f>
        <v/>
      </c>
      <c r="O16" s="410"/>
      <c r="P16" s="408" t="str">
        <f ca="1">IF(AND('Mapa final'!$H$28="Alta",'Mapa final'!$L$28="Menor"),CONCATENATE("R",'Mapa final'!$A$28),"")</f>
        <v/>
      </c>
      <c r="Q16" s="409"/>
      <c r="R16" s="409" t="str">
        <f ca="1">IF(AND('Mapa final'!$H$34="Alta",'Mapa final'!$L$34="Menor"),CONCATENATE("R",'Mapa final'!$A$34),"")</f>
        <v/>
      </c>
      <c r="S16" s="409"/>
      <c r="T16" s="409" t="str">
        <f ca="1">IF(AND('Mapa final'!$H$37="Alta",'Mapa final'!$L$37="Menor"),CONCATENATE("R",'Mapa final'!$A$37),"")</f>
        <v/>
      </c>
      <c r="U16" s="410"/>
      <c r="V16" s="426" t="str">
        <f ca="1">IF(AND('Mapa final'!$H$28="Alta",'Mapa final'!$L$28="Moderado"),CONCATENATE("R",'Mapa final'!$A$28),"")</f>
        <v/>
      </c>
      <c r="W16" s="427"/>
      <c r="X16" s="427" t="str">
        <f ca="1">IF(AND('Mapa final'!$H$34="Alta",'Mapa final'!$L$34="Moderado"),CONCATENATE("R",'Mapa final'!$A$34),"")</f>
        <v/>
      </c>
      <c r="Y16" s="427"/>
      <c r="Z16" s="427" t="str">
        <f ca="1">IF(AND('Mapa final'!$H$37="Alta",'Mapa final'!$L$37="Moderado"),CONCATENATE("R",'Mapa final'!$A$37),"")</f>
        <v/>
      </c>
      <c r="AA16" s="428"/>
      <c r="AB16" s="426" t="str">
        <f ca="1">IF(AND('Mapa final'!$H$28="Alta",'Mapa final'!$L$28="Mayor"),CONCATENATE("R",'Mapa final'!$A$28),"")</f>
        <v/>
      </c>
      <c r="AC16" s="427"/>
      <c r="AD16" s="427" t="str">
        <f ca="1">IF(AND('Mapa final'!$H$34="Alta",'Mapa final'!$L$34="Mayor"),CONCATENATE("R",'Mapa final'!$A$34),"")</f>
        <v/>
      </c>
      <c r="AE16" s="427"/>
      <c r="AF16" s="427" t="str">
        <f ca="1">IF(AND('Mapa final'!$H$37="Alta",'Mapa final'!$L$37="Mayor"),CONCATENATE("R",'Mapa final'!$A$37),"")</f>
        <v/>
      </c>
      <c r="AG16" s="428"/>
      <c r="AH16" s="417" t="str">
        <f ca="1">IF(AND('Mapa final'!$H$28="Alta",'Mapa final'!$L$28="Catastrófico"),CONCATENATE("R",'Mapa final'!$A$28),"")</f>
        <v/>
      </c>
      <c r="AI16" s="418"/>
      <c r="AJ16" s="418" t="str">
        <f ca="1">IF(AND('Mapa final'!$H$34="Alta",'Mapa final'!$L$34="Catastrófico"),CONCATENATE("R",'Mapa final'!$A$34),"")</f>
        <v/>
      </c>
      <c r="AK16" s="418"/>
      <c r="AL16" s="418" t="str">
        <f ca="1">IF(AND('Mapa final'!$H$37="Alta",'Mapa final'!$L$37="Catastrófico"),CONCATENATE("R",'Mapa final'!$A$37),"")</f>
        <v/>
      </c>
      <c r="AM16" s="419"/>
      <c r="AN16" s="82"/>
      <c r="AO16" s="460"/>
      <c r="AP16" s="461"/>
      <c r="AQ16" s="461"/>
      <c r="AR16" s="461"/>
      <c r="AS16" s="461"/>
      <c r="AT16" s="46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446"/>
      <c r="C17" s="446"/>
      <c r="D17" s="447"/>
      <c r="E17" s="439"/>
      <c r="F17" s="440"/>
      <c r="G17" s="440"/>
      <c r="H17" s="440"/>
      <c r="I17" s="440"/>
      <c r="J17" s="408"/>
      <c r="K17" s="409"/>
      <c r="L17" s="409"/>
      <c r="M17" s="409"/>
      <c r="N17" s="409"/>
      <c r="O17" s="410"/>
      <c r="P17" s="408"/>
      <c r="Q17" s="409"/>
      <c r="R17" s="409"/>
      <c r="S17" s="409"/>
      <c r="T17" s="409"/>
      <c r="U17" s="410"/>
      <c r="V17" s="426"/>
      <c r="W17" s="427"/>
      <c r="X17" s="427"/>
      <c r="Y17" s="427"/>
      <c r="Z17" s="427"/>
      <c r="AA17" s="428"/>
      <c r="AB17" s="426"/>
      <c r="AC17" s="427"/>
      <c r="AD17" s="427"/>
      <c r="AE17" s="427"/>
      <c r="AF17" s="427"/>
      <c r="AG17" s="428"/>
      <c r="AH17" s="417"/>
      <c r="AI17" s="418"/>
      <c r="AJ17" s="418"/>
      <c r="AK17" s="418"/>
      <c r="AL17" s="418"/>
      <c r="AM17" s="419"/>
      <c r="AN17" s="82"/>
      <c r="AO17" s="460"/>
      <c r="AP17" s="461"/>
      <c r="AQ17" s="461"/>
      <c r="AR17" s="461"/>
      <c r="AS17" s="461"/>
      <c r="AT17" s="46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446"/>
      <c r="C18" s="446"/>
      <c r="D18" s="447"/>
      <c r="E18" s="439"/>
      <c r="F18" s="440"/>
      <c r="G18" s="440"/>
      <c r="H18" s="440"/>
      <c r="I18" s="440"/>
      <c r="J18" s="408" t="str">
        <f ca="1">IF(AND('Mapa final'!$H$43="Alta",'Mapa final'!$L$43="Leve"),CONCATENATE("R",'Mapa final'!$A$43),"")</f>
        <v/>
      </c>
      <c r="K18" s="409"/>
      <c r="L18" s="409" t="str">
        <f ca="1">IF(AND('Mapa final'!$H$49="Alta",'Mapa final'!$L$49="Leve"),CONCATENATE("R",'Mapa final'!$A$49),"")</f>
        <v/>
      </c>
      <c r="M18" s="409"/>
      <c r="N18" s="409" t="str">
        <f>IF(AND('Mapa final'!$H$55="Alta",'Mapa final'!$L$55="Leve"),CONCATENATE("R",'Mapa final'!$A$55),"")</f>
        <v/>
      </c>
      <c r="O18" s="410"/>
      <c r="P18" s="408" t="str">
        <f ca="1">IF(AND('Mapa final'!$H$43="Alta",'Mapa final'!$L$43="Menor"),CONCATENATE("R",'Mapa final'!$A$43),"")</f>
        <v/>
      </c>
      <c r="Q18" s="409"/>
      <c r="R18" s="409" t="str">
        <f ca="1">IF(AND('Mapa final'!$H$49="Alta",'Mapa final'!$L$49="Menor"),CONCATENATE("R",'Mapa final'!$A$49),"")</f>
        <v/>
      </c>
      <c r="S18" s="409"/>
      <c r="T18" s="409" t="str">
        <f>IF(AND('Mapa final'!$H$55="Alta",'Mapa final'!$L$55="Menor"),CONCATENATE("R",'Mapa final'!$A$55),"")</f>
        <v/>
      </c>
      <c r="U18" s="410"/>
      <c r="V18" s="426" t="str">
        <f ca="1">IF(AND('Mapa final'!$H$43="Alta",'Mapa final'!$L$43="Moderado"),CONCATENATE("R",'Mapa final'!$A$43),"")</f>
        <v/>
      </c>
      <c r="W18" s="427"/>
      <c r="X18" s="427" t="str">
        <f ca="1">IF(AND('Mapa final'!$H$49="Alta",'Mapa final'!$L$49="Moderado"),CONCATENATE("R",'Mapa final'!$A$49),"")</f>
        <v/>
      </c>
      <c r="Y18" s="427"/>
      <c r="Z18" s="427" t="str">
        <f>IF(AND('Mapa final'!$H$55="Alta",'Mapa final'!$L$55="Moderado"),CONCATENATE("R",'Mapa final'!$A$55),"")</f>
        <v/>
      </c>
      <c r="AA18" s="428"/>
      <c r="AB18" s="426" t="str">
        <f ca="1">IF(AND('Mapa final'!$H$43="Alta",'Mapa final'!$L$43="Mayor"),CONCATENATE("R",'Mapa final'!$A$43),"")</f>
        <v/>
      </c>
      <c r="AC18" s="427"/>
      <c r="AD18" s="427" t="str">
        <f ca="1">IF(AND('Mapa final'!$H$49="Alta",'Mapa final'!$L$49="Mayor"),CONCATENATE("R",'Mapa final'!$A$49),"")</f>
        <v/>
      </c>
      <c r="AE18" s="427"/>
      <c r="AF18" s="427" t="str">
        <f>IF(AND('Mapa final'!$H$55="Alta",'Mapa final'!$L$55="Mayor"),CONCATENATE("R",'Mapa final'!$A$55),"")</f>
        <v/>
      </c>
      <c r="AG18" s="428"/>
      <c r="AH18" s="417" t="str">
        <f ca="1">IF(AND('Mapa final'!$H$43="Alta",'Mapa final'!$L$43="Catastrófico"),CONCATENATE("R",'Mapa final'!$A$43),"")</f>
        <v/>
      </c>
      <c r="AI18" s="418"/>
      <c r="AJ18" s="418" t="str">
        <f ca="1">IF(AND('Mapa final'!$H$49="Alta",'Mapa final'!$L$49="Catastrófico"),CONCATENATE("R",'Mapa final'!$A$49),"")</f>
        <v/>
      </c>
      <c r="AK18" s="418"/>
      <c r="AL18" s="418" t="str">
        <f>IF(AND('Mapa final'!$H$55="Alta",'Mapa final'!$L$55="Catastrófico"),CONCATENATE("R",'Mapa final'!$A$55),"")</f>
        <v/>
      </c>
      <c r="AM18" s="419"/>
      <c r="AN18" s="82"/>
      <c r="AO18" s="460"/>
      <c r="AP18" s="461"/>
      <c r="AQ18" s="461"/>
      <c r="AR18" s="461"/>
      <c r="AS18" s="461"/>
      <c r="AT18" s="46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446"/>
      <c r="C19" s="446"/>
      <c r="D19" s="447"/>
      <c r="E19" s="439"/>
      <c r="F19" s="440"/>
      <c r="G19" s="440"/>
      <c r="H19" s="440"/>
      <c r="I19" s="440"/>
      <c r="J19" s="408"/>
      <c r="K19" s="409"/>
      <c r="L19" s="409"/>
      <c r="M19" s="409"/>
      <c r="N19" s="409"/>
      <c r="O19" s="410"/>
      <c r="P19" s="408"/>
      <c r="Q19" s="409"/>
      <c r="R19" s="409"/>
      <c r="S19" s="409"/>
      <c r="T19" s="409"/>
      <c r="U19" s="410"/>
      <c r="V19" s="426"/>
      <c r="W19" s="427"/>
      <c r="X19" s="427"/>
      <c r="Y19" s="427"/>
      <c r="Z19" s="427"/>
      <c r="AA19" s="428"/>
      <c r="AB19" s="426"/>
      <c r="AC19" s="427"/>
      <c r="AD19" s="427"/>
      <c r="AE19" s="427"/>
      <c r="AF19" s="427"/>
      <c r="AG19" s="428"/>
      <c r="AH19" s="417"/>
      <c r="AI19" s="418"/>
      <c r="AJ19" s="418"/>
      <c r="AK19" s="418"/>
      <c r="AL19" s="418"/>
      <c r="AM19" s="419"/>
      <c r="AN19" s="82"/>
      <c r="AO19" s="460"/>
      <c r="AP19" s="461"/>
      <c r="AQ19" s="461"/>
      <c r="AR19" s="461"/>
      <c r="AS19" s="461"/>
      <c r="AT19" s="46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446"/>
      <c r="C20" s="446"/>
      <c r="D20" s="447"/>
      <c r="E20" s="439"/>
      <c r="F20" s="440"/>
      <c r="G20" s="440"/>
      <c r="H20" s="440"/>
      <c r="I20" s="440"/>
      <c r="J20" s="408" t="str">
        <f ca="1">IF(AND('Mapa final'!$H$61="Alta",'Mapa final'!$L$61="Leve"),CONCATENATE("R",'Mapa final'!$A$61),"")</f>
        <v/>
      </c>
      <c r="K20" s="409"/>
      <c r="L20" s="409" t="str">
        <f>IF(AND('Mapa final'!$H$67="Alta",'Mapa final'!$L$67="Leve"),CONCATENATE("R",'Mapa final'!$A$67),"")</f>
        <v/>
      </c>
      <c r="M20" s="409"/>
      <c r="N20" s="409" t="str">
        <f>IF(AND('Mapa final'!$H$73="Alta",'Mapa final'!$L$73="Leve"),CONCATENATE("R",'Mapa final'!$A$73),"")</f>
        <v/>
      </c>
      <c r="O20" s="410"/>
      <c r="P20" s="408" t="str">
        <f ca="1">IF(AND('Mapa final'!$H$61="Alta",'Mapa final'!$L$61="Menor"),CONCATENATE("R",'Mapa final'!$A$61),"")</f>
        <v/>
      </c>
      <c r="Q20" s="409"/>
      <c r="R20" s="409" t="str">
        <f>IF(AND('Mapa final'!$H$67="Alta",'Mapa final'!$L$67="Menor"),CONCATENATE("R",'Mapa final'!$A$67),"")</f>
        <v/>
      </c>
      <c r="S20" s="409"/>
      <c r="T20" s="409" t="str">
        <f>IF(AND('Mapa final'!$H$73="Alta",'Mapa final'!$L$73="Menor"),CONCATENATE("R",'Mapa final'!$A$73),"")</f>
        <v/>
      </c>
      <c r="U20" s="410"/>
      <c r="V20" s="426" t="str">
        <f ca="1">IF(AND('Mapa final'!$H$61="Alta",'Mapa final'!$L$61="Moderado"),CONCATENATE("R",'Mapa final'!$A$61),"")</f>
        <v/>
      </c>
      <c r="W20" s="427"/>
      <c r="X20" s="427" t="str">
        <f>IF(AND('Mapa final'!$H$67="Alta",'Mapa final'!$L$67="Moderado"),CONCATENATE("R",'Mapa final'!$A$67),"")</f>
        <v/>
      </c>
      <c r="Y20" s="427"/>
      <c r="Z20" s="427" t="str">
        <f>IF(AND('Mapa final'!$H$73="Alta",'Mapa final'!$L$73="Moderado"),CONCATENATE("R",'Mapa final'!$A$73),"")</f>
        <v/>
      </c>
      <c r="AA20" s="428"/>
      <c r="AB20" s="426" t="str">
        <f ca="1">IF(AND('Mapa final'!$H$61="Alta",'Mapa final'!$L$61="Mayor"),CONCATENATE("R",'Mapa final'!$A$61),"")</f>
        <v/>
      </c>
      <c r="AC20" s="427"/>
      <c r="AD20" s="427" t="str">
        <f>IF(AND('Mapa final'!$H$67="Alta",'Mapa final'!$L$67="Mayor"),CONCATENATE("R",'Mapa final'!$A$67),"")</f>
        <v/>
      </c>
      <c r="AE20" s="427"/>
      <c r="AF20" s="427" t="str">
        <f>IF(AND('Mapa final'!$H$73="Alta",'Mapa final'!$L$73="Mayor"),CONCATENATE("R",'Mapa final'!$A$73),"")</f>
        <v/>
      </c>
      <c r="AG20" s="428"/>
      <c r="AH20" s="417" t="str">
        <f ca="1">IF(AND('Mapa final'!$H$61="Alta",'Mapa final'!$L$61="Catastrófico"),CONCATENATE("R",'Mapa final'!$A$61),"")</f>
        <v/>
      </c>
      <c r="AI20" s="418"/>
      <c r="AJ20" s="418" t="str">
        <f>IF(AND('Mapa final'!$H$67="Alta",'Mapa final'!$L$67="Catastrófico"),CONCATENATE("R",'Mapa final'!$A$67),"")</f>
        <v/>
      </c>
      <c r="AK20" s="418"/>
      <c r="AL20" s="418" t="str">
        <f>IF(AND('Mapa final'!$H$73="Alta",'Mapa final'!$L$73="Catastrófico"),CONCATENATE("R",'Mapa final'!$A$73),"")</f>
        <v/>
      </c>
      <c r="AM20" s="419"/>
      <c r="AN20" s="82"/>
      <c r="AO20" s="460"/>
      <c r="AP20" s="461"/>
      <c r="AQ20" s="461"/>
      <c r="AR20" s="461"/>
      <c r="AS20" s="461"/>
      <c r="AT20" s="46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446"/>
      <c r="C21" s="446"/>
      <c r="D21" s="447"/>
      <c r="E21" s="442"/>
      <c r="F21" s="443"/>
      <c r="G21" s="443"/>
      <c r="H21" s="443"/>
      <c r="I21" s="443"/>
      <c r="J21" s="411"/>
      <c r="K21" s="412"/>
      <c r="L21" s="412"/>
      <c r="M21" s="412"/>
      <c r="N21" s="412"/>
      <c r="O21" s="413"/>
      <c r="P21" s="411"/>
      <c r="Q21" s="412"/>
      <c r="R21" s="412"/>
      <c r="S21" s="412"/>
      <c r="T21" s="412"/>
      <c r="U21" s="413"/>
      <c r="V21" s="429"/>
      <c r="W21" s="430"/>
      <c r="X21" s="430"/>
      <c r="Y21" s="430"/>
      <c r="Z21" s="430"/>
      <c r="AA21" s="431"/>
      <c r="AB21" s="429"/>
      <c r="AC21" s="430"/>
      <c r="AD21" s="430"/>
      <c r="AE21" s="430"/>
      <c r="AF21" s="430"/>
      <c r="AG21" s="431"/>
      <c r="AH21" s="420"/>
      <c r="AI21" s="421"/>
      <c r="AJ21" s="421"/>
      <c r="AK21" s="421"/>
      <c r="AL21" s="421"/>
      <c r="AM21" s="422"/>
      <c r="AN21" s="82"/>
      <c r="AO21" s="463"/>
      <c r="AP21" s="464"/>
      <c r="AQ21" s="464"/>
      <c r="AR21" s="464"/>
      <c r="AS21" s="464"/>
      <c r="AT21" s="465"/>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446"/>
      <c r="C22" s="446"/>
      <c r="D22" s="447"/>
      <c r="E22" s="436" t="s">
        <v>116</v>
      </c>
      <c r="F22" s="437"/>
      <c r="G22" s="437"/>
      <c r="H22" s="437"/>
      <c r="I22" s="438"/>
      <c r="J22" s="414" t="str">
        <f ca="1">IF(AND('Mapa final'!$H$10="Media",'Mapa final'!$L$10="Leve"),CONCATENATE("R",'Mapa final'!$A$10),"")</f>
        <v/>
      </c>
      <c r="K22" s="415"/>
      <c r="L22" s="415" t="str">
        <f ca="1">IF(AND('Mapa final'!$H$16="Media",'Mapa final'!$L$16="Leve"),CONCATENATE("R",'Mapa final'!$A$16),"")</f>
        <v/>
      </c>
      <c r="M22" s="415"/>
      <c r="N22" s="415" t="str">
        <f ca="1">IF(AND('Mapa final'!$H$22="Media",'Mapa final'!$L$22="Leve"),CONCATENATE("R",'Mapa final'!$A$22),"")</f>
        <v/>
      </c>
      <c r="O22" s="416"/>
      <c r="P22" s="414" t="str">
        <f ca="1">IF(AND('Mapa final'!$H$10="Media",'Mapa final'!$L$10="Menor"),CONCATENATE("R",'Mapa final'!$A$10),"")</f>
        <v/>
      </c>
      <c r="Q22" s="415"/>
      <c r="R22" s="415" t="str">
        <f ca="1">IF(AND('Mapa final'!$H$16="Media",'Mapa final'!$L$16="Menor"),CONCATENATE("R",'Mapa final'!$A$16),"")</f>
        <v/>
      </c>
      <c r="S22" s="415"/>
      <c r="T22" s="415" t="str">
        <f ca="1">IF(AND('Mapa final'!$H$22="Media",'Mapa final'!$L$22="Menor"),CONCATENATE("R",'Mapa final'!$A$22),"")</f>
        <v/>
      </c>
      <c r="U22" s="416"/>
      <c r="V22" s="414" t="str">
        <f ca="1">IF(AND('Mapa final'!$H$10="Media",'Mapa final'!$L$10="Moderado"),CONCATENATE("R",'Mapa final'!$A$10),"")</f>
        <v/>
      </c>
      <c r="W22" s="415"/>
      <c r="X22" s="415" t="str">
        <f ca="1">IF(AND('Mapa final'!$H$16="Media",'Mapa final'!$L$16="Moderado"),CONCATENATE("R",'Mapa final'!$A$16),"")</f>
        <v/>
      </c>
      <c r="Y22" s="415"/>
      <c r="Z22" s="415" t="str">
        <f ca="1">IF(AND('Mapa final'!$H$22="Media",'Mapa final'!$L$22="Moderado"),CONCATENATE("R",'Mapa final'!$A$22),"")</f>
        <v>R3</v>
      </c>
      <c r="AA22" s="416"/>
      <c r="AB22" s="432" t="str">
        <f ca="1">IF(AND('Mapa final'!$H$10="Media",'Mapa final'!$L$10="Mayor"),CONCATENATE("R",'Mapa final'!$A$10),"")</f>
        <v>R1</v>
      </c>
      <c r="AC22" s="433"/>
      <c r="AD22" s="433" t="str">
        <f ca="1">IF(AND('Mapa final'!$H$16="Media",'Mapa final'!$L$16="Mayor"),CONCATENATE("R",'Mapa final'!$A$16),"")</f>
        <v>R2</v>
      </c>
      <c r="AE22" s="433"/>
      <c r="AF22" s="433" t="str">
        <f ca="1">IF(AND('Mapa final'!$H$22="Media",'Mapa final'!$L$22="Mayor"),CONCATENATE("R",'Mapa final'!$A$22),"")</f>
        <v/>
      </c>
      <c r="AG22" s="434"/>
      <c r="AH22" s="423" t="str">
        <f ca="1">IF(AND('Mapa final'!$H$10="Media",'Mapa final'!$L$10="Catastrófico"),CONCATENATE("R",'Mapa final'!$A$10),"")</f>
        <v/>
      </c>
      <c r="AI22" s="424"/>
      <c r="AJ22" s="424" t="str">
        <f ca="1">IF(AND('Mapa final'!$H$16="Media",'Mapa final'!$L$16="Catastrófico"),CONCATENATE("R",'Mapa final'!$A$16),"")</f>
        <v/>
      </c>
      <c r="AK22" s="424"/>
      <c r="AL22" s="424" t="str">
        <f ca="1">IF(AND('Mapa final'!$H$22="Media",'Mapa final'!$L$22="Catastrófico"),CONCATENATE("R",'Mapa final'!$A$22),"")</f>
        <v/>
      </c>
      <c r="AM22" s="425"/>
      <c r="AN22" s="82"/>
      <c r="AO22" s="466" t="s">
        <v>80</v>
      </c>
      <c r="AP22" s="467"/>
      <c r="AQ22" s="467"/>
      <c r="AR22" s="467"/>
      <c r="AS22" s="467"/>
      <c r="AT22" s="468"/>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446"/>
      <c r="C23" s="446"/>
      <c r="D23" s="447"/>
      <c r="E23" s="439"/>
      <c r="F23" s="440"/>
      <c r="G23" s="440"/>
      <c r="H23" s="440"/>
      <c r="I23" s="441"/>
      <c r="J23" s="408"/>
      <c r="K23" s="409"/>
      <c r="L23" s="409"/>
      <c r="M23" s="409"/>
      <c r="N23" s="409"/>
      <c r="O23" s="410"/>
      <c r="P23" s="408"/>
      <c r="Q23" s="409"/>
      <c r="R23" s="409"/>
      <c r="S23" s="409"/>
      <c r="T23" s="409"/>
      <c r="U23" s="410"/>
      <c r="V23" s="408"/>
      <c r="W23" s="409"/>
      <c r="X23" s="409"/>
      <c r="Y23" s="409"/>
      <c r="Z23" s="409"/>
      <c r="AA23" s="410"/>
      <c r="AB23" s="426"/>
      <c r="AC23" s="427"/>
      <c r="AD23" s="427"/>
      <c r="AE23" s="427"/>
      <c r="AF23" s="427"/>
      <c r="AG23" s="428"/>
      <c r="AH23" s="417"/>
      <c r="AI23" s="418"/>
      <c r="AJ23" s="418"/>
      <c r="AK23" s="418"/>
      <c r="AL23" s="418"/>
      <c r="AM23" s="419"/>
      <c r="AN23" s="82"/>
      <c r="AO23" s="469"/>
      <c r="AP23" s="470"/>
      <c r="AQ23" s="470"/>
      <c r="AR23" s="470"/>
      <c r="AS23" s="470"/>
      <c r="AT23" s="471"/>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446"/>
      <c r="C24" s="446"/>
      <c r="D24" s="447"/>
      <c r="E24" s="439"/>
      <c r="F24" s="440"/>
      <c r="G24" s="440"/>
      <c r="H24" s="440"/>
      <c r="I24" s="441"/>
      <c r="J24" s="408" t="str">
        <f ca="1">IF(AND('Mapa final'!$H$28="Media",'Mapa final'!$L$28="Leve"),CONCATENATE("R",'Mapa final'!$A$28),"")</f>
        <v/>
      </c>
      <c r="K24" s="409"/>
      <c r="L24" s="409" t="str">
        <f ca="1">IF(AND('Mapa final'!$H$34="Media",'Mapa final'!$L$34="Leve"),CONCATENATE("R",'Mapa final'!$A$34),"")</f>
        <v/>
      </c>
      <c r="M24" s="409"/>
      <c r="N24" s="409" t="str">
        <f ca="1">IF(AND('Mapa final'!$H$37="Media",'Mapa final'!$L$37="Leve"),CONCATENATE("R",'Mapa final'!$A$37),"")</f>
        <v/>
      </c>
      <c r="O24" s="410"/>
      <c r="P24" s="408" t="str">
        <f ca="1">IF(AND('Mapa final'!$H$28="Media",'Mapa final'!$L$28="Menor"),CONCATENATE("R",'Mapa final'!$A$28),"")</f>
        <v>R3</v>
      </c>
      <c r="Q24" s="409"/>
      <c r="R24" s="409" t="str">
        <f ca="1">IF(AND('Mapa final'!$H$34="Media",'Mapa final'!$L$34="Menor"),CONCATENATE("R",'Mapa final'!$A$34),"")</f>
        <v/>
      </c>
      <c r="S24" s="409"/>
      <c r="T24" s="409" t="str">
        <f ca="1">IF(AND('Mapa final'!$H$37="Media",'Mapa final'!$L$37="Menor"),CONCATENATE("R",'Mapa final'!$A$37),"")</f>
        <v/>
      </c>
      <c r="U24" s="410"/>
      <c r="V24" s="408" t="str">
        <f ca="1">IF(AND('Mapa final'!$H$28="Media",'Mapa final'!$L$28="Moderado"),CONCATENATE("R",'Mapa final'!$A$28),"")</f>
        <v/>
      </c>
      <c r="W24" s="409"/>
      <c r="X24" s="409" t="str">
        <f ca="1">IF(AND('Mapa final'!$H$34="Media",'Mapa final'!$L$34="Moderado"),CONCATENATE("R",'Mapa final'!$A$34),"")</f>
        <v/>
      </c>
      <c r="Y24" s="409"/>
      <c r="Z24" s="409" t="str">
        <f ca="1">IF(AND('Mapa final'!$H$37="Media",'Mapa final'!$L$37="Moderado"),CONCATENATE("R",'Mapa final'!$A$37),"")</f>
        <v>R4</v>
      </c>
      <c r="AA24" s="410"/>
      <c r="AB24" s="426" t="str">
        <f ca="1">IF(AND('Mapa final'!$H$28="Media",'Mapa final'!$L$28="Mayor"),CONCATENATE("R",'Mapa final'!$A$28),"")</f>
        <v/>
      </c>
      <c r="AC24" s="427"/>
      <c r="AD24" s="427" t="str">
        <f ca="1">IF(AND('Mapa final'!$H$34="Media",'Mapa final'!$L$34="Mayor"),CONCATENATE("R",'Mapa final'!$A$34),"")</f>
        <v/>
      </c>
      <c r="AE24" s="427"/>
      <c r="AF24" s="427" t="str">
        <f ca="1">IF(AND('Mapa final'!$H$37="Media",'Mapa final'!$L$37="Mayor"),CONCATENATE("R",'Mapa final'!$A$37),"")</f>
        <v/>
      </c>
      <c r="AG24" s="428"/>
      <c r="AH24" s="417" t="str">
        <f ca="1">IF(AND('Mapa final'!$H$28="Media",'Mapa final'!$L$28="Catastrófico"),CONCATENATE("R",'Mapa final'!$A$28),"")</f>
        <v/>
      </c>
      <c r="AI24" s="418"/>
      <c r="AJ24" s="418" t="str">
        <f ca="1">IF(AND('Mapa final'!$H$34="Media",'Mapa final'!$L$34="Catastrófico"),CONCATENATE("R",'Mapa final'!$A$34),"")</f>
        <v>R5</v>
      </c>
      <c r="AK24" s="418"/>
      <c r="AL24" s="418" t="str">
        <f ca="1">IF(AND('Mapa final'!$H$37="Media",'Mapa final'!$L$37="Catastrófico"),CONCATENATE("R",'Mapa final'!$A$37),"")</f>
        <v/>
      </c>
      <c r="AM24" s="419"/>
      <c r="AN24" s="82"/>
      <c r="AO24" s="469"/>
      <c r="AP24" s="470"/>
      <c r="AQ24" s="470"/>
      <c r="AR24" s="470"/>
      <c r="AS24" s="470"/>
      <c r="AT24" s="471"/>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446"/>
      <c r="C25" s="446"/>
      <c r="D25" s="447"/>
      <c r="E25" s="439"/>
      <c r="F25" s="440"/>
      <c r="G25" s="440"/>
      <c r="H25" s="440"/>
      <c r="I25" s="441"/>
      <c r="J25" s="408"/>
      <c r="K25" s="409"/>
      <c r="L25" s="409"/>
      <c r="M25" s="409"/>
      <c r="N25" s="409"/>
      <c r="O25" s="410"/>
      <c r="P25" s="408"/>
      <c r="Q25" s="409"/>
      <c r="R25" s="409"/>
      <c r="S25" s="409"/>
      <c r="T25" s="409"/>
      <c r="U25" s="410"/>
      <c r="V25" s="408"/>
      <c r="W25" s="409"/>
      <c r="X25" s="409"/>
      <c r="Y25" s="409"/>
      <c r="Z25" s="409"/>
      <c r="AA25" s="410"/>
      <c r="AB25" s="426"/>
      <c r="AC25" s="427"/>
      <c r="AD25" s="427"/>
      <c r="AE25" s="427"/>
      <c r="AF25" s="427"/>
      <c r="AG25" s="428"/>
      <c r="AH25" s="417"/>
      <c r="AI25" s="418"/>
      <c r="AJ25" s="418"/>
      <c r="AK25" s="418"/>
      <c r="AL25" s="418"/>
      <c r="AM25" s="419"/>
      <c r="AN25" s="82"/>
      <c r="AO25" s="469"/>
      <c r="AP25" s="470"/>
      <c r="AQ25" s="470"/>
      <c r="AR25" s="470"/>
      <c r="AS25" s="470"/>
      <c r="AT25" s="471"/>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446"/>
      <c r="C26" s="446"/>
      <c r="D26" s="447"/>
      <c r="E26" s="439"/>
      <c r="F26" s="440"/>
      <c r="G26" s="440"/>
      <c r="H26" s="440"/>
      <c r="I26" s="441"/>
      <c r="J26" s="408" t="str">
        <f ca="1">IF(AND('Mapa final'!$H$43="Media",'Mapa final'!$L$43="Leve"),CONCATENATE("R",'Mapa final'!$A$43),"")</f>
        <v/>
      </c>
      <c r="K26" s="409"/>
      <c r="L26" s="409" t="str">
        <f ca="1">IF(AND('Mapa final'!$H$49="Media",'Mapa final'!$L$49="Leve"),CONCATENATE("R",'Mapa final'!$A$49),"")</f>
        <v/>
      </c>
      <c r="M26" s="409"/>
      <c r="N26" s="409" t="str">
        <f>IF(AND('Mapa final'!$H$55="Media",'Mapa final'!$L$55="Leve"),CONCATENATE("R",'Mapa final'!$A$55),"")</f>
        <v/>
      </c>
      <c r="O26" s="410"/>
      <c r="P26" s="408" t="str">
        <f ca="1">IF(AND('Mapa final'!$H$43="Media",'Mapa final'!$L$43="Menor"),CONCATENATE("R",'Mapa final'!$A$43),"")</f>
        <v/>
      </c>
      <c r="Q26" s="409"/>
      <c r="R26" s="409" t="str">
        <f ca="1">IF(AND('Mapa final'!$H$49="Media",'Mapa final'!$L$49="Menor"),CONCATENATE("R",'Mapa final'!$A$49),"")</f>
        <v>R8</v>
      </c>
      <c r="S26" s="409"/>
      <c r="T26" s="409" t="str">
        <f>IF(AND('Mapa final'!$H$55="Media",'Mapa final'!$L$55="Menor"),CONCATENATE("R",'Mapa final'!$A$55),"")</f>
        <v/>
      </c>
      <c r="U26" s="410"/>
      <c r="V26" s="408" t="str">
        <f ca="1">IF(AND('Mapa final'!$H$43="Media",'Mapa final'!$L$43="Moderado"),CONCATENATE("R",'Mapa final'!$A$43),"")</f>
        <v>R5</v>
      </c>
      <c r="W26" s="409"/>
      <c r="X26" s="409" t="str">
        <f ca="1">IF(AND('Mapa final'!$H$49="Media",'Mapa final'!$L$49="Moderado"),CONCATENATE("R",'Mapa final'!$A$49),"")</f>
        <v/>
      </c>
      <c r="Y26" s="409"/>
      <c r="Z26" s="409" t="str">
        <f>IF(AND('Mapa final'!$H$55="Media",'Mapa final'!$L$55="Moderado"),CONCATENATE("R",'Mapa final'!$A$55),"")</f>
        <v/>
      </c>
      <c r="AA26" s="410"/>
      <c r="AB26" s="426" t="str">
        <f ca="1">IF(AND('Mapa final'!$H$43="Media",'Mapa final'!$L$43="Mayor"),CONCATENATE("R",'Mapa final'!$A$43),"")</f>
        <v/>
      </c>
      <c r="AC26" s="427"/>
      <c r="AD26" s="427" t="str">
        <f ca="1">IF(AND('Mapa final'!$H$49="Media",'Mapa final'!$L$49="Mayor"),CONCATENATE("R",'Mapa final'!$A$49),"")</f>
        <v/>
      </c>
      <c r="AE26" s="427"/>
      <c r="AF26" s="427" t="str">
        <f>IF(AND('Mapa final'!$H$55="Media",'Mapa final'!$L$55="Mayor"),CONCATENATE("R",'Mapa final'!$A$55),"")</f>
        <v/>
      </c>
      <c r="AG26" s="428"/>
      <c r="AH26" s="417" t="str">
        <f ca="1">IF(AND('Mapa final'!$H$43="Media",'Mapa final'!$L$43="Catastrófico"),CONCATENATE("R",'Mapa final'!$A$43),"")</f>
        <v/>
      </c>
      <c r="AI26" s="418"/>
      <c r="AJ26" s="418" t="str">
        <f ca="1">IF(AND('Mapa final'!$H$49="Media",'Mapa final'!$L$49="Catastrófico"),CONCATENATE("R",'Mapa final'!$A$49),"")</f>
        <v/>
      </c>
      <c r="AK26" s="418"/>
      <c r="AL26" s="418" t="str">
        <f>IF(AND('Mapa final'!$H$55="Media",'Mapa final'!$L$55="Catastrófico"),CONCATENATE("R",'Mapa final'!$A$55),"")</f>
        <v/>
      </c>
      <c r="AM26" s="419"/>
      <c r="AN26" s="82"/>
      <c r="AO26" s="469"/>
      <c r="AP26" s="470"/>
      <c r="AQ26" s="470"/>
      <c r="AR26" s="470"/>
      <c r="AS26" s="470"/>
      <c r="AT26" s="471"/>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446"/>
      <c r="C27" s="446"/>
      <c r="D27" s="447"/>
      <c r="E27" s="439"/>
      <c r="F27" s="440"/>
      <c r="G27" s="440"/>
      <c r="H27" s="440"/>
      <c r="I27" s="441"/>
      <c r="J27" s="408"/>
      <c r="K27" s="409"/>
      <c r="L27" s="409"/>
      <c r="M27" s="409"/>
      <c r="N27" s="409"/>
      <c r="O27" s="410"/>
      <c r="P27" s="408"/>
      <c r="Q27" s="409"/>
      <c r="R27" s="409"/>
      <c r="S27" s="409"/>
      <c r="T27" s="409"/>
      <c r="U27" s="410"/>
      <c r="V27" s="408"/>
      <c r="W27" s="409"/>
      <c r="X27" s="409"/>
      <c r="Y27" s="409"/>
      <c r="Z27" s="409"/>
      <c r="AA27" s="410"/>
      <c r="AB27" s="426"/>
      <c r="AC27" s="427"/>
      <c r="AD27" s="427"/>
      <c r="AE27" s="427"/>
      <c r="AF27" s="427"/>
      <c r="AG27" s="428"/>
      <c r="AH27" s="417"/>
      <c r="AI27" s="418"/>
      <c r="AJ27" s="418"/>
      <c r="AK27" s="418"/>
      <c r="AL27" s="418"/>
      <c r="AM27" s="419"/>
      <c r="AN27" s="82"/>
      <c r="AO27" s="469"/>
      <c r="AP27" s="470"/>
      <c r="AQ27" s="470"/>
      <c r="AR27" s="470"/>
      <c r="AS27" s="470"/>
      <c r="AT27" s="471"/>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446"/>
      <c r="C28" s="446"/>
      <c r="D28" s="447"/>
      <c r="E28" s="439"/>
      <c r="F28" s="440"/>
      <c r="G28" s="440"/>
      <c r="H28" s="440"/>
      <c r="I28" s="441"/>
      <c r="J28" s="408" t="str">
        <f ca="1">IF(AND('Mapa final'!$H$61="Media",'Mapa final'!$L$61="Leve"),CONCATENATE("R",'Mapa final'!$A$61),"")</f>
        <v/>
      </c>
      <c r="K28" s="409"/>
      <c r="L28" s="409" t="str">
        <f>IF(AND('Mapa final'!$H$67="Media",'Mapa final'!$L$67="Leve"),CONCATENATE("R",'Mapa final'!$A$67),"")</f>
        <v/>
      </c>
      <c r="M28" s="409"/>
      <c r="N28" s="409" t="str">
        <f>IF(AND('Mapa final'!$H$73="Media",'Mapa final'!$L$73="Leve"),CONCATENATE("R",'Mapa final'!$A$73),"")</f>
        <v/>
      </c>
      <c r="O28" s="410"/>
      <c r="P28" s="408" t="str">
        <f ca="1">IF(AND('Mapa final'!$H$61="Media",'Mapa final'!$L$61="Menor"),CONCATENATE("R",'Mapa final'!$A$61),"")</f>
        <v/>
      </c>
      <c r="Q28" s="409"/>
      <c r="R28" s="409" t="str">
        <f>IF(AND('Mapa final'!$H$67="Media",'Mapa final'!$L$67="Menor"),CONCATENATE("R",'Mapa final'!$A$67),"")</f>
        <v/>
      </c>
      <c r="S28" s="409"/>
      <c r="T28" s="409" t="str">
        <f>IF(AND('Mapa final'!$H$73="Media",'Mapa final'!$L$73="Menor"),CONCATENATE("R",'Mapa final'!$A$73),"")</f>
        <v/>
      </c>
      <c r="U28" s="410"/>
      <c r="V28" s="408" t="str">
        <f ca="1">IF(AND('Mapa final'!$H$61="Media",'Mapa final'!$L$61="Moderado"),CONCATENATE("R",'Mapa final'!$A$61),"")</f>
        <v/>
      </c>
      <c r="W28" s="409"/>
      <c r="X28" s="409" t="str">
        <f>IF(AND('Mapa final'!$H$67="Media",'Mapa final'!$L$67="Moderado"),CONCATENATE("R",'Mapa final'!$A$67),"")</f>
        <v/>
      </c>
      <c r="Y28" s="409"/>
      <c r="Z28" s="409" t="str">
        <f>IF(AND('Mapa final'!$H$73="Media",'Mapa final'!$L$73="Moderado"),CONCATENATE("R",'Mapa final'!$A$73),"")</f>
        <v/>
      </c>
      <c r="AA28" s="410"/>
      <c r="AB28" s="426" t="str">
        <f ca="1">IF(AND('Mapa final'!$H$61="Media",'Mapa final'!$L$61="Mayor"),CONCATENATE("R",'Mapa final'!$A$61),"")</f>
        <v/>
      </c>
      <c r="AC28" s="427"/>
      <c r="AD28" s="427" t="str">
        <f>IF(AND('Mapa final'!$H$67="Media",'Mapa final'!$L$67="Mayor"),CONCATENATE("R",'Mapa final'!$A$67),"")</f>
        <v/>
      </c>
      <c r="AE28" s="427"/>
      <c r="AF28" s="427" t="str">
        <f>IF(AND('Mapa final'!$H$73="Media",'Mapa final'!$L$73="Mayor"),CONCATENATE("R",'Mapa final'!$A$73),"")</f>
        <v/>
      </c>
      <c r="AG28" s="428"/>
      <c r="AH28" s="417" t="str">
        <f ca="1">IF(AND('Mapa final'!$H$61="Media",'Mapa final'!$L$61="Catastrófico"),CONCATENATE("R",'Mapa final'!$A$61),"")</f>
        <v/>
      </c>
      <c r="AI28" s="418"/>
      <c r="AJ28" s="418" t="str">
        <f>IF(AND('Mapa final'!$H$67="Media",'Mapa final'!$L$67="Catastrófico"),CONCATENATE("R",'Mapa final'!$A$67),"")</f>
        <v/>
      </c>
      <c r="AK28" s="418"/>
      <c r="AL28" s="418" t="str">
        <f>IF(AND('Mapa final'!$H$73="Media",'Mapa final'!$L$73="Catastrófico"),CONCATENATE("R",'Mapa final'!$A$73),"")</f>
        <v/>
      </c>
      <c r="AM28" s="419"/>
      <c r="AN28" s="82"/>
      <c r="AO28" s="469"/>
      <c r="AP28" s="470"/>
      <c r="AQ28" s="470"/>
      <c r="AR28" s="470"/>
      <c r="AS28" s="470"/>
      <c r="AT28" s="471"/>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446"/>
      <c r="C29" s="446"/>
      <c r="D29" s="447"/>
      <c r="E29" s="442"/>
      <c r="F29" s="443"/>
      <c r="G29" s="443"/>
      <c r="H29" s="443"/>
      <c r="I29" s="444"/>
      <c r="J29" s="408"/>
      <c r="K29" s="409"/>
      <c r="L29" s="409"/>
      <c r="M29" s="409"/>
      <c r="N29" s="409"/>
      <c r="O29" s="410"/>
      <c r="P29" s="411"/>
      <c r="Q29" s="412"/>
      <c r="R29" s="412"/>
      <c r="S29" s="412"/>
      <c r="T29" s="412"/>
      <c r="U29" s="413"/>
      <c r="V29" s="411"/>
      <c r="W29" s="412"/>
      <c r="X29" s="412"/>
      <c r="Y29" s="412"/>
      <c r="Z29" s="412"/>
      <c r="AA29" s="413"/>
      <c r="AB29" s="429"/>
      <c r="AC29" s="430"/>
      <c r="AD29" s="430"/>
      <c r="AE29" s="430"/>
      <c r="AF29" s="430"/>
      <c r="AG29" s="431"/>
      <c r="AH29" s="420"/>
      <c r="AI29" s="421"/>
      <c r="AJ29" s="421"/>
      <c r="AK29" s="421"/>
      <c r="AL29" s="421"/>
      <c r="AM29" s="422"/>
      <c r="AN29" s="82"/>
      <c r="AO29" s="472"/>
      <c r="AP29" s="473"/>
      <c r="AQ29" s="473"/>
      <c r="AR29" s="473"/>
      <c r="AS29" s="473"/>
      <c r="AT29" s="474"/>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446"/>
      <c r="C30" s="446"/>
      <c r="D30" s="447"/>
      <c r="E30" s="436" t="s">
        <v>113</v>
      </c>
      <c r="F30" s="437"/>
      <c r="G30" s="437"/>
      <c r="H30" s="437"/>
      <c r="I30" s="437"/>
      <c r="J30" s="405" t="str">
        <f ca="1">IF(AND('Mapa final'!$H$10="Baja",'Mapa final'!$L$10="Leve"),CONCATENATE("R",'Mapa final'!$A$10),"")</f>
        <v/>
      </c>
      <c r="K30" s="406"/>
      <c r="L30" s="406" t="str">
        <f ca="1">IF(AND('Mapa final'!$H$16="Baja",'Mapa final'!$L$16="Leve"),CONCATENATE("R",'Mapa final'!$A$16),"")</f>
        <v/>
      </c>
      <c r="M30" s="406"/>
      <c r="N30" s="406" t="str">
        <f ca="1">IF(AND('Mapa final'!$H$22="Baja",'Mapa final'!$L$22="Leve"),CONCATENATE("R",'Mapa final'!$A$22),"")</f>
        <v/>
      </c>
      <c r="O30" s="407"/>
      <c r="P30" s="415" t="str">
        <f ca="1">IF(AND('Mapa final'!$H$10="Baja",'Mapa final'!$L$10="Menor"),CONCATENATE("R",'Mapa final'!$A$10),"")</f>
        <v/>
      </c>
      <c r="Q30" s="415"/>
      <c r="R30" s="415" t="str">
        <f ca="1">IF(AND('Mapa final'!$H$16="Baja",'Mapa final'!$L$16="Menor"),CONCATENATE("R",'Mapa final'!$A$16),"")</f>
        <v/>
      </c>
      <c r="S30" s="415"/>
      <c r="T30" s="415" t="str">
        <f ca="1">IF(AND('Mapa final'!$H$22="Baja",'Mapa final'!$L$22="Menor"),CONCATENATE("R",'Mapa final'!$A$22),"")</f>
        <v/>
      </c>
      <c r="U30" s="416"/>
      <c r="V30" s="414" t="str">
        <f ca="1">IF(AND('Mapa final'!$H$10="Baja",'Mapa final'!$L$10="Moderado"),CONCATENATE("R",'Mapa final'!$A$10),"")</f>
        <v/>
      </c>
      <c r="W30" s="415"/>
      <c r="X30" s="415" t="str">
        <f ca="1">IF(AND('Mapa final'!$H$16="Baja",'Mapa final'!$L$16="Moderado"),CONCATENATE("R",'Mapa final'!$A$16),"")</f>
        <v/>
      </c>
      <c r="Y30" s="415"/>
      <c r="Z30" s="415" t="str">
        <f ca="1">IF(AND('Mapa final'!$H$22="Baja",'Mapa final'!$L$22="Moderado"),CONCATENATE("R",'Mapa final'!$A$22),"")</f>
        <v/>
      </c>
      <c r="AA30" s="416"/>
      <c r="AB30" s="432" t="str">
        <f ca="1">IF(AND('Mapa final'!$H$10="Baja",'Mapa final'!$L$10="Mayor"),CONCATENATE("R",'Mapa final'!$A$10),"")</f>
        <v/>
      </c>
      <c r="AC30" s="433"/>
      <c r="AD30" s="433" t="str">
        <f ca="1">IF(AND('Mapa final'!$H$16="Baja",'Mapa final'!$L$16="Mayor"),CONCATENATE("R",'Mapa final'!$A$16),"")</f>
        <v/>
      </c>
      <c r="AE30" s="433"/>
      <c r="AF30" s="433" t="str">
        <f ca="1">IF(AND('Mapa final'!$H$22="Baja",'Mapa final'!$L$22="Mayor"),CONCATENATE("R",'Mapa final'!$A$22),"")</f>
        <v/>
      </c>
      <c r="AG30" s="434"/>
      <c r="AH30" s="423" t="str">
        <f ca="1">IF(AND('Mapa final'!$H$10="Baja",'Mapa final'!$L$10="Catastrófico"),CONCATENATE("R",'Mapa final'!$A$10),"")</f>
        <v/>
      </c>
      <c r="AI30" s="424"/>
      <c r="AJ30" s="424" t="str">
        <f ca="1">IF(AND('Mapa final'!$H$16="Baja",'Mapa final'!$L$16="Catastrófico"),CONCATENATE("R",'Mapa final'!$A$16),"")</f>
        <v/>
      </c>
      <c r="AK30" s="424"/>
      <c r="AL30" s="424" t="str">
        <f ca="1">IF(AND('Mapa final'!$H$22="Baja",'Mapa final'!$L$22="Catastrófico"),CONCATENATE("R",'Mapa final'!$A$22),"")</f>
        <v/>
      </c>
      <c r="AM30" s="425"/>
      <c r="AN30" s="82"/>
      <c r="AO30" s="475" t="s">
        <v>81</v>
      </c>
      <c r="AP30" s="476"/>
      <c r="AQ30" s="476"/>
      <c r="AR30" s="476"/>
      <c r="AS30" s="476"/>
      <c r="AT30" s="477"/>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446"/>
      <c r="C31" s="446"/>
      <c r="D31" s="447"/>
      <c r="E31" s="439"/>
      <c r="F31" s="440"/>
      <c r="G31" s="440"/>
      <c r="H31" s="440"/>
      <c r="I31" s="440"/>
      <c r="J31" s="399"/>
      <c r="K31" s="400"/>
      <c r="L31" s="400"/>
      <c r="M31" s="400"/>
      <c r="N31" s="400"/>
      <c r="O31" s="401"/>
      <c r="P31" s="409"/>
      <c r="Q31" s="409"/>
      <c r="R31" s="409"/>
      <c r="S31" s="409"/>
      <c r="T31" s="409"/>
      <c r="U31" s="410"/>
      <c r="V31" s="408"/>
      <c r="W31" s="409"/>
      <c r="X31" s="409"/>
      <c r="Y31" s="409"/>
      <c r="Z31" s="409"/>
      <c r="AA31" s="410"/>
      <c r="AB31" s="426"/>
      <c r="AC31" s="427"/>
      <c r="AD31" s="427"/>
      <c r="AE31" s="427"/>
      <c r="AF31" s="427"/>
      <c r="AG31" s="428"/>
      <c r="AH31" s="417"/>
      <c r="AI31" s="418"/>
      <c r="AJ31" s="418"/>
      <c r="AK31" s="418"/>
      <c r="AL31" s="418"/>
      <c r="AM31" s="419"/>
      <c r="AN31" s="82"/>
      <c r="AO31" s="478"/>
      <c r="AP31" s="479"/>
      <c r="AQ31" s="479"/>
      <c r="AR31" s="479"/>
      <c r="AS31" s="479"/>
      <c r="AT31" s="480"/>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446"/>
      <c r="C32" s="446"/>
      <c r="D32" s="447"/>
      <c r="E32" s="439"/>
      <c r="F32" s="440"/>
      <c r="G32" s="440"/>
      <c r="H32" s="440"/>
      <c r="I32" s="440"/>
      <c r="J32" s="399" t="str">
        <f ca="1">IF(AND('Mapa final'!$H$28="Baja",'Mapa final'!$L$28="Leve"),CONCATENATE("R",'Mapa final'!$A$28),"")</f>
        <v/>
      </c>
      <c r="K32" s="400"/>
      <c r="L32" s="400" t="str">
        <f ca="1">IF(AND('Mapa final'!$H$34="Baja",'Mapa final'!$L$34="Leve"),CONCATENATE("R",'Mapa final'!$A$34),"")</f>
        <v/>
      </c>
      <c r="M32" s="400"/>
      <c r="N32" s="400" t="str">
        <f ca="1">IF(AND('Mapa final'!$H$37="Baja",'Mapa final'!$L$37="Leve"),CONCATENATE("R",'Mapa final'!$A$37),"")</f>
        <v/>
      </c>
      <c r="O32" s="401"/>
      <c r="P32" s="409" t="str">
        <f ca="1">IF(AND('Mapa final'!$H$28="Baja",'Mapa final'!$L$28="Menor"),CONCATENATE("R",'Mapa final'!$A$28),"")</f>
        <v/>
      </c>
      <c r="Q32" s="409"/>
      <c r="R32" s="409" t="str">
        <f ca="1">IF(AND('Mapa final'!$H$34="Baja",'Mapa final'!$L$34="Menor"),CONCATENATE("R",'Mapa final'!$A$34),"")</f>
        <v/>
      </c>
      <c r="S32" s="409"/>
      <c r="T32" s="409" t="str">
        <f ca="1">IF(AND('Mapa final'!$H$37="Baja",'Mapa final'!$L$37="Menor"),CONCATENATE("R",'Mapa final'!$A$37),"")</f>
        <v/>
      </c>
      <c r="U32" s="410"/>
      <c r="V32" s="408" t="str">
        <f ca="1">IF(AND('Mapa final'!$H$28="Baja",'Mapa final'!$L$28="Moderado"),CONCATENATE("R",'Mapa final'!$A$28),"")</f>
        <v/>
      </c>
      <c r="W32" s="409"/>
      <c r="X32" s="409" t="str">
        <f ca="1">IF(AND('Mapa final'!$H$34="Baja",'Mapa final'!$L$34="Moderado"),CONCATENATE("R",'Mapa final'!$A$34),"")</f>
        <v/>
      </c>
      <c r="Y32" s="409"/>
      <c r="Z32" s="409" t="str">
        <f ca="1">IF(AND('Mapa final'!$H$37="Baja",'Mapa final'!$L$37="Moderado"),CONCATENATE("R",'Mapa final'!$A$37),"")</f>
        <v/>
      </c>
      <c r="AA32" s="410"/>
      <c r="AB32" s="426" t="str">
        <f ca="1">IF(AND('Mapa final'!$H$28="Baja",'Mapa final'!$L$28="Mayor"),CONCATENATE("R",'Mapa final'!$A$28),"")</f>
        <v/>
      </c>
      <c r="AC32" s="427"/>
      <c r="AD32" s="427" t="str">
        <f ca="1">IF(AND('Mapa final'!$H$34="Baja",'Mapa final'!$L$34="Mayor"),CONCATENATE("R",'Mapa final'!$A$34),"")</f>
        <v/>
      </c>
      <c r="AE32" s="427"/>
      <c r="AF32" s="427" t="str">
        <f ca="1">IF(AND('Mapa final'!$H$37="Baja",'Mapa final'!$L$37="Mayor"),CONCATENATE("R",'Mapa final'!$A$37),"")</f>
        <v/>
      </c>
      <c r="AG32" s="428"/>
      <c r="AH32" s="417" t="str">
        <f ca="1">IF(AND('Mapa final'!$H$28="Baja",'Mapa final'!$L$28="Catastrófico"),CONCATENATE("R",'Mapa final'!$A$28),"")</f>
        <v/>
      </c>
      <c r="AI32" s="418"/>
      <c r="AJ32" s="418" t="str">
        <f ca="1">IF(AND('Mapa final'!$H$34="Baja",'Mapa final'!$L$34="Catastrófico"),CONCATENATE("R",'Mapa final'!$A$34),"")</f>
        <v/>
      </c>
      <c r="AK32" s="418"/>
      <c r="AL32" s="418" t="str">
        <f ca="1">IF(AND('Mapa final'!$H$37="Baja",'Mapa final'!$L$37="Catastrófico"),CONCATENATE("R",'Mapa final'!$A$37),"")</f>
        <v/>
      </c>
      <c r="AM32" s="419"/>
      <c r="AN32" s="82"/>
      <c r="AO32" s="478"/>
      <c r="AP32" s="479"/>
      <c r="AQ32" s="479"/>
      <c r="AR32" s="479"/>
      <c r="AS32" s="479"/>
      <c r="AT32" s="480"/>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446"/>
      <c r="C33" s="446"/>
      <c r="D33" s="447"/>
      <c r="E33" s="439"/>
      <c r="F33" s="440"/>
      <c r="G33" s="440"/>
      <c r="H33" s="440"/>
      <c r="I33" s="440"/>
      <c r="J33" s="399"/>
      <c r="K33" s="400"/>
      <c r="L33" s="400"/>
      <c r="M33" s="400"/>
      <c r="N33" s="400"/>
      <c r="O33" s="401"/>
      <c r="P33" s="409"/>
      <c r="Q33" s="409"/>
      <c r="R33" s="409"/>
      <c r="S33" s="409"/>
      <c r="T33" s="409"/>
      <c r="U33" s="410"/>
      <c r="V33" s="408"/>
      <c r="W33" s="409"/>
      <c r="X33" s="409"/>
      <c r="Y33" s="409"/>
      <c r="Z33" s="409"/>
      <c r="AA33" s="410"/>
      <c r="AB33" s="426"/>
      <c r="AC33" s="427"/>
      <c r="AD33" s="427"/>
      <c r="AE33" s="427"/>
      <c r="AF33" s="427"/>
      <c r="AG33" s="428"/>
      <c r="AH33" s="417"/>
      <c r="AI33" s="418"/>
      <c r="AJ33" s="418"/>
      <c r="AK33" s="418"/>
      <c r="AL33" s="418"/>
      <c r="AM33" s="419"/>
      <c r="AN33" s="82"/>
      <c r="AO33" s="478"/>
      <c r="AP33" s="479"/>
      <c r="AQ33" s="479"/>
      <c r="AR33" s="479"/>
      <c r="AS33" s="479"/>
      <c r="AT33" s="480"/>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446"/>
      <c r="C34" s="446"/>
      <c r="D34" s="447"/>
      <c r="E34" s="439"/>
      <c r="F34" s="440"/>
      <c r="G34" s="440"/>
      <c r="H34" s="440"/>
      <c r="I34" s="440"/>
      <c r="J34" s="399" t="str">
        <f ca="1">IF(AND('Mapa final'!$H$43="Baja",'Mapa final'!$L$43="Leve"),CONCATENATE("R",'Mapa final'!$A$43),"")</f>
        <v/>
      </c>
      <c r="K34" s="400"/>
      <c r="L34" s="400" t="str">
        <f ca="1">IF(AND('Mapa final'!$H$49="Baja",'Mapa final'!$L$49="Leve"),CONCATENATE("R",'Mapa final'!$A$49),"")</f>
        <v/>
      </c>
      <c r="M34" s="400"/>
      <c r="N34" s="400" t="str">
        <f>IF(AND('Mapa final'!$H$55="Baja",'Mapa final'!$L$55="Leve"),CONCATENATE("R",'Mapa final'!$A$55),"")</f>
        <v/>
      </c>
      <c r="O34" s="401"/>
      <c r="P34" s="409" t="str">
        <f ca="1">IF(AND('Mapa final'!$H$43="Baja",'Mapa final'!$L$43="Menor"),CONCATENATE("R",'Mapa final'!$A$43),"")</f>
        <v/>
      </c>
      <c r="Q34" s="409"/>
      <c r="R34" s="409" t="str">
        <f ca="1">IF(AND('Mapa final'!$H$49="Baja",'Mapa final'!$L$49="Menor"),CONCATENATE("R",'Mapa final'!$A$49),"")</f>
        <v/>
      </c>
      <c r="S34" s="409"/>
      <c r="T34" s="409" t="str">
        <f>IF(AND('Mapa final'!$H$55="Baja",'Mapa final'!$L$55="Menor"),CONCATENATE("R",'Mapa final'!$A$55),"")</f>
        <v/>
      </c>
      <c r="U34" s="410"/>
      <c r="V34" s="408" t="str">
        <f ca="1">IF(AND('Mapa final'!$H$43="Baja",'Mapa final'!$L$43="Moderado"),CONCATENATE("R",'Mapa final'!$A$43),"")</f>
        <v/>
      </c>
      <c r="W34" s="409"/>
      <c r="X34" s="409" t="str">
        <f ca="1">IF(AND('Mapa final'!$H$49="Baja",'Mapa final'!$L$49="Moderado"),CONCATENATE("R",'Mapa final'!$A$49),"")</f>
        <v/>
      </c>
      <c r="Y34" s="409"/>
      <c r="Z34" s="409" t="str">
        <f>IF(AND('Mapa final'!$H$55="Baja",'Mapa final'!$L$55="Moderado"),CONCATENATE("R",'Mapa final'!$A$55),"")</f>
        <v/>
      </c>
      <c r="AA34" s="410"/>
      <c r="AB34" s="426" t="str">
        <f ca="1">IF(AND('Mapa final'!$H$43="Baja",'Mapa final'!$L$43="Mayor"),CONCATENATE("R",'Mapa final'!$A$43),"")</f>
        <v/>
      </c>
      <c r="AC34" s="427"/>
      <c r="AD34" s="427" t="str">
        <f ca="1">IF(AND('Mapa final'!$H$49="Baja",'Mapa final'!$L$49="Mayor"),CONCATENATE("R",'Mapa final'!$A$49),"")</f>
        <v/>
      </c>
      <c r="AE34" s="427"/>
      <c r="AF34" s="427" t="str">
        <f>IF(AND('Mapa final'!$H$55="Baja",'Mapa final'!$L$55="Mayor"),CONCATENATE("R",'Mapa final'!$A$55),"")</f>
        <v/>
      </c>
      <c r="AG34" s="428"/>
      <c r="AH34" s="417" t="str">
        <f ca="1">IF(AND('Mapa final'!$H$43="Baja",'Mapa final'!$L$43="Catastrófico"),CONCATENATE("R",'Mapa final'!$A$43),"")</f>
        <v/>
      </c>
      <c r="AI34" s="418"/>
      <c r="AJ34" s="418" t="str">
        <f ca="1">IF(AND('Mapa final'!$H$49="Baja",'Mapa final'!$L$49="Catastrófico"),CONCATENATE("R",'Mapa final'!$A$49),"")</f>
        <v/>
      </c>
      <c r="AK34" s="418"/>
      <c r="AL34" s="418" t="str">
        <f>IF(AND('Mapa final'!$H$55="Baja",'Mapa final'!$L$55="Catastrófico"),CONCATENATE("R",'Mapa final'!$A$55),"")</f>
        <v/>
      </c>
      <c r="AM34" s="419"/>
      <c r="AN34" s="82"/>
      <c r="AO34" s="478"/>
      <c r="AP34" s="479"/>
      <c r="AQ34" s="479"/>
      <c r="AR34" s="479"/>
      <c r="AS34" s="479"/>
      <c r="AT34" s="480"/>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446"/>
      <c r="C35" s="446"/>
      <c r="D35" s="447"/>
      <c r="E35" s="439"/>
      <c r="F35" s="440"/>
      <c r="G35" s="440"/>
      <c r="H35" s="440"/>
      <c r="I35" s="440"/>
      <c r="J35" s="399"/>
      <c r="K35" s="400"/>
      <c r="L35" s="400"/>
      <c r="M35" s="400"/>
      <c r="N35" s="400"/>
      <c r="O35" s="401"/>
      <c r="P35" s="409"/>
      <c r="Q35" s="409"/>
      <c r="R35" s="409"/>
      <c r="S35" s="409"/>
      <c r="T35" s="409"/>
      <c r="U35" s="410"/>
      <c r="V35" s="408"/>
      <c r="W35" s="409"/>
      <c r="X35" s="409"/>
      <c r="Y35" s="409"/>
      <c r="Z35" s="409"/>
      <c r="AA35" s="410"/>
      <c r="AB35" s="426"/>
      <c r="AC35" s="427"/>
      <c r="AD35" s="427"/>
      <c r="AE35" s="427"/>
      <c r="AF35" s="427"/>
      <c r="AG35" s="428"/>
      <c r="AH35" s="417"/>
      <c r="AI35" s="418"/>
      <c r="AJ35" s="418"/>
      <c r="AK35" s="418"/>
      <c r="AL35" s="418"/>
      <c r="AM35" s="419"/>
      <c r="AN35" s="82"/>
      <c r="AO35" s="478"/>
      <c r="AP35" s="479"/>
      <c r="AQ35" s="479"/>
      <c r="AR35" s="479"/>
      <c r="AS35" s="479"/>
      <c r="AT35" s="480"/>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446"/>
      <c r="C36" s="446"/>
      <c r="D36" s="447"/>
      <c r="E36" s="439"/>
      <c r="F36" s="440"/>
      <c r="G36" s="440"/>
      <c r="H36" s="440"/>
      <c r="I36" s="440"/>
      <c r="J36" s="399" t="str">
        <f ca="1">IF(AND('Mapa final'!$H$61="Baja",'Mapa final'!$L$61="Leve"),CONCATENATE("R",'Mapa final'!$A$61),"")</f>
        <v/>
      </c>
      <c r="K36" s="400"/>
      <c r="L36" s="400" t="str">
        <f>IF(AND('Mapa final'!$H$67="Baja",'Mapa final'!$L$67="Leve"),CONCATENATE("R",'Mapa final'!$A$67),"")</f>
        <v/>
      </c>
      <c r="M36" s="400"/>
      <c r="N36" s="400" t="str">
        <f>IF(AND('Mapa final'!$H$73="Baja",'Mapa final'!$L$73="Leve"),CONCATENATE("R",'Mapa final'!$A$73),"")</f>
        <v/>
      </c>
      <c r="O36" s="401"/>
      <c r="P36" s="409" t="str">
        <f ca="1">IF(AND('Mapa final'!$H$61="Baja",'Mapa final'!$L$61="Menor"),CONCATENATE("R",'Mapa final'!$A$61),"")</f>
        <v/>
      </c>
      <c r="Q36" s="409"/>
      <c r="R36" s="409" t="str">
        <f>IF(AND('Mapa final'!$H$67="Baja",'Mapa final'!$L$67="Menor"),CONCATENATE("R",'Mapa final'!$A$67),"")</f>
        <v/>
      </c>
      <c r="S36" s="409"/>
      <c r="T36" s="409" t="str">
        <f>IF(AND('Mapa final'!$H$73="Baja",'Mapa final'!$L$73="Menor"),CONCATENATE("R",'Mapa final'!$A$73),"")</f>
        <v/>
      </c>
      <c r="U36" s="410"/>
      <c r="V36" s="408" t="str">
        <f ca="1">IF(AND('Mapa final'!$H$61="Baja",'Mapa final'!$L$61="Moderado"),CONCATENATE("R",'Mapa final'!$A$61),"")</f>
        <v/>
      </c>
      <c r="W36" s="409"/>
      <c r="X36" s="409" t="str">
        <f>IF(AND('Mapa final'!$H$67="Baja",'Mapa final'!$L$67="Moderado"),CONCATENATE("R",'Mapa final'!$A$67),"")</f>
        <v/>
      </c>
      <c r="Y36" s="409"/>
      <c r="Z36" s="409" t="str">
        <f>IF(AND('Mapa final'!$H$73="Baja",'Mapa final'!$L$73="Moderado"),CONCATENATE("R",'Mapa final'!$A$73),"")</f>
        <v/>
      </c>
      <c r="AA36" s="410"/>
      <c r="AB36" s="426" t="str">
        <f ca="1">IF(AND('Mapa final'!$H$61="Baja",'Mapa final'!$L$61="Mayor"),CONCATENATE("R",'Mapa final'!$A$61),"")</f>
        <v/>
      </c>
      <c r="AC36" s="427"/>
      <c r="AD36" s="427" t="str">
        <f>IF(AND('Mapa final'!$H$67="Baja",'Mapa final'!$L$67="Mayor"),CONCATENATE("R",'Mapa final'!$A$67),"")</f>
        <v/>
      </c>
      <c r="AE36" s="427"/>
      <c r="AF36" s="427" t="str">
        <f>IF(AND('Mapa final'!$H$73="Baja",'Mapa final'!$L$73="Mayor"),CONCATENATE("R",'Mapa final'!$A$73),"")</f>
        <v/>
      </c>
      <c r="AG36" s="428"/>
      <c r="AH36" s="417" t="str">
        <f ca="1">IF(AND('Mapa final'!$H$61="Baja",'Mapa final'!$L$61="Catastrófico"),CONCATENATE("R",'Mapa final'!$A$61),"")</f>
        <v/>
      </c>
      <c r="AI36" s="418"/>
      <c r="AJ36" s="418" t="str">
        <f>IF(AND('Mapa final'!$H$67="Baja",'Mapa final'!$L$67="Catastrófico"),CONCATENATE("R",'Mapa final'!$A$67),"")</f>
        <v/>
      </c>
      <c r="AK36" s="418"/>
      <c r="AL36" s="418" t="str">
        <f>IF(AND('Mapa final'!$H$73="Baja",'Mapa final'!$L$73="Catastrófico"),CONCATENATE("R",'Mapa final'!$A$73),"")</f>
        <v/>
      </c>
      <c r="AM36" s="419"/>
      <c r="AN36" s="82"/>
      <c r="AO36" s="478"/>
      <c r="AP36" s="479"/>
      <c r="AQ36" s="479"/>
      <c r="AR36" s="479"/>
      <c r="AS36" s="479"/>
      <c r="AT36" s="480"/>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446"/>
      <c r="C37" s="446"/>
      <c r="D37" s="447"/>
      <c r="E37" s="442"/>
      <c r="F37" s="443"/>
      <c r="G37" s="443"/>
      <c r="H37" s="443"/>
      <c r="I37" s="443"/>
      <c r="J37" s="402"/>
      <c r="K37" s="403"/>
      <c r="L37" s="403"/>
      <c r="M37" s="403"/>
      <c r="N37" s="403"/>
      <c r="O37" s="404"/>
      <c r="P37" s="412"/>
      <c r="Q37" s="412"/>
      <c r="R37" s="412"/>
      <c r="S37" s="412"/>
      <c r="T37" s="412"/>
      <c r="U37" s="413"/>
      <c r="V37" s="411"/>
      <c r="W37" s="412"/>
      <c r="X37" s="412"/>
      <c r="Y37" s="412"/>
      <c r="Z37" s="412"/>
      <c r="AA37" s="413"/>
      <c r="AB37" s="429"/>
      <c r="AC37" s="430"/>
      <c r="AD37" s="430"/>
      <c r="AE37" s="430"/>
      <c r="AF37" s="430"/>
      <c r="AG37" s="431"/>
      <c r="AH37" s="420"/>
      <c r="AI37" s="421"/>
      <c r="AJ37" s="421"/>
      <c r="AK37" s="421"/>
      <c r="AL37" s="421"/>
      <c r="AM37" s="422"/>
      <c r="AN37" s="82"/>
      <c r="AO37" s="481"/>
      <c r="AP37" s="482"/>
      <c r="AQ37" s="482"/>
      <c r="AR37" s="482"/>
      <c r="AS37" s="482"/>
      <c r="AT37" s="483"/>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446"/>
      <c r="C38" s="446"/>
      <c r="D38" s="447"/>
      <c r="E38" s="436" t="s">
        <v>112</v>
      </c>
      <c r="F38" s="437"/>
      <c r="G38" s="437"/>
      <c r="H38" s="437"/>
      <c r="I38" s="438"/>
      <c r="J38" s="405" t="str">
        <f ca="1">IF(AND('Mapa final'!$H$10="Muy Baja",'Mapa final'!$L$10="Leve"),CONCATENATE("R",'Mapa final'!$A$10),"")</f>
        <v/>
      </c>
      <c r="K38" s="406"/>
      <c r="L38" s="406" t="str">
        <f ca="1">IF(AND('Mapa final'!$H$16="Muy Baja",'Mapa final'!$L$16="Leve"),CONCATENATE("R",'Mapa final'!$A$16),"")</f>
        <v/>
      </c>
      <c r="M38" s="406"/>
      <c r="N38" s="406" t="str">
        <f ca="1">IF(AND('Mapa final'!$H$22="Muy Baja",'Mapa final'!$L$22="Leve"),CONCATENATE("R",'Mapa final'!$A$22),"")</f>
        <v/>
      </c>
      <c r="O38" s="407"/>
      <c r="P38" s="405" t="str">
        <f ca="1">IF(AND('Mapa final'!$H$10="Muy Baja",'Mapa final'!$L$10="Menor"),CONCATENATE("R",'Mapa final'!$A$10),"")</f>
        <v/>
      </c>
      <c r="Q38" s="406"/>
      <c r="R38" s="406" t="str">
        <f ca="1">IF(AND('Mapa final'!$H$16="Muy Baja",'Mapa final'!$L$16="Menor"),CONCATENATE("R",'Mapa final'!$A$16),"")</f>
        <v/>
      </c>
      <c r="S38" s="406"/>
      <c r="T38" s="406" t="str">
        <f ca="1">IF(AND('Mapa final'!$H$22="Muy Baja",'Mapa final'!$L$22="Menor"),CONCATENATE("R",'Mapa final'!$A$22),"")</f>
        <v/>
      </c>
      <c r="U38" s="407"/>
      <c r="V38" s="414" t="str">
        <f ca="1">IF(AND('Mapa final'!$H$10="Muy Baja",'Mapa final'!$L$10="Moderado"),CONCATENATE("R",'Mapa final'!$A$10),"")</f>
        <v/>
      </c>
      <c r="W38" s="415"/>
      <c r="X38" s="415" t="str">
        <f ca="1">IF(AND('Mapa final'!$H$16="Muy Baja",'Mapa final'!$L$16="Moderado"),CONCATENATE("R",'Mapa final'!$A$16),"")</f>
        <v/>
      </c>
      <c r="Y38" s="415"/>
      <c r="Z38" s="415" t="str">
        <f ca="1">IF(AND('Mapa final'!$H$22="Muy Baja",'Mapa final'!$L$22="Moderado"),CONCATENATE("R",'Mapa final'!$A$22),"")</f>
        <v/>
      </c>
      <c r="AA38" s="416"/>
      <c r="AB38" s="432" t="str">
        <f ca="1">IF(AND('Mapa final'!$H$10="Muy Baja",'Mapa final'!$L$10="Mayor"),CONCATENATE("R",'Mapa final'!$A$10),"")</f>
        <v/>
      </c>
      <c r="AC38" s="433"/>
      <c r="AD38" s="433" t="str">
        <f ca="1">IF(AND('Mapa final'!$H$16="Muy Baja",'Mapa final'!$L$16="Mayor"),CONCATENATE("R",'Mapa final'!$A$16),"")</f>
        <v/>
      </c>
      <c r="AE38" s="433"/>
      <c r="AF38" s="433" t="str">
        <f ca="1">IF(AND('Mapa final'!$H$22="Muy Baja",'Mapa final'!$L$22="Mayor"),CONCATENATE("R",'Mapa final'!$A$22),"")</f>
        <v/>
      </c>
      <c r="AG38" s="434"/>
      <c r="AH38" s="423" t="str">
        <f ca="1">IF(AND('Mapa final'!$H$10="Muy Baja",'Mapa final'!$L$10="Catastrófico"),CONCATENATE("R",'Mapa final'!$A$10),"")</f>
        <v/>
      </c>
      <c r="AI38" s="424"/>
      <c r="AJ38" s="424" t="str">
        <f ca="1">IF(AND('Mapa final'!$H$16="Muy Baja",'Mapa final'!$L$16="Catastrófico"),CONCATENATE("R",'Mapa final'!$A$16),"")</f>
        <v/>
      </c>
      <c r="AK38" s="424"/>
      <c r="AL38" s="424" t="str">
        <f ca="1">IF(AND('Mapa final'!$H$22="Muy Baja",'Mapa final'!$L$22="Catastrófico"),CONCATENATE("R",'Mapa final'!$A$22),"")</f>
        <v/>
      </c>
      <c r="AM38" s="425"/>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446"/>
      <c r="C39" s="446"/>
      <c r="D39" s="447"/>
      <c r="E39" s="439"/>
      <c r="F39" s="440"/>
      <c r="G39" s="440"/>
      <c r="H39" s="440"/>
      <c r="I39" s="441"/>
      <c r="J39" s="399"/>
      <c r="K39" s="400"/>
      <c r="L39" s="400"/>
      <c r="M39" s="400"/>
      <c r="N39" s="400"/>
      <c r="O39" s="401"/>
      <c r="P39" s="399"/>
      <c r="Q39" s="400"/>
      <c r="R39" s="400"/>
      <c r="S39" s="400"/>
      <c r="T39" s="400"/>
      <c r="U39" s="401"/>
      <c r="V39" s="408"/>
      <c r="W39" s="409"/>
      <c r="X39" s="409"/>
      <c r="Y39" s="409"/>
      <c r="Z39" s="409"/>
      <c r="AA39" s="410"/>
      <c r="AB39" s="426"/>
      <c r="AC39" s="427"/>
      <c r="AD39" s="427"/>
      <c r="AE39" s="427"/>
      <c r="AF39" s="427"/>
      <c r="AG39" s="428"/>
      <c r="AH39" s="417"/>
      <c r="AI39" s="418"/>
      <c r="AJ39" s="418"/>
      <c r="AK39" s="418"/>
      <c r="AL39" s="418"/>
      <c r="AM39" s="419"/>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446"/>
      <c r="C40" s="446"/>
      <c r="D40" s="447"/>
      <c r="E40" s="439"/>
      <c r="F40" s="440"/>
      <c r="G40" s="440"/>
      <c r="H40" s="440"/>
      <c r="I40" s="441"/>
      <c r="J40" s="399" t="str">
        <f ca="1">IF(AND('Mapa final'!$H$28="Muy Baja",'Mapa final'!$L$28="Leve"),CONCATENATE("R",'Mapa final'!$A$28),"")</f>
        <v/>
      </c>
      <c r="K40" s="400"/>
      <c r="L40" s="400" t="str">
        <f ca="1">IF(AND('Mapa final'!$H$34="Muy Baja",'Mapa final'!$L$34="Leve"),CONCATENATE("R",'Mapa final'!$A$34),"")</f>
        <v/>
      </c>
      <c r="M40" s="400"/>
      <c r="N40" s="400" t="str">
        <f ca="1">IF(AND('Mapa final'!$H$37="Muy Baja",'Mapa final'!$L$37="Leve"),CONCATENATE("R",'Mapa final'!$A$37),"")</f>
        <v/>
      </c>
      <c r="O40" s="401"/>
      <c r="P40" s="399" t="str">
        <f ca="1">IF(AND('Mapa final'!$H$28="Muy Baja",'Mapa final'!$L$28="Menor"),CONCATENATE("R",'Mapa final'!$A$28),"")</f>
        <v/>
      </c>
      <c r="Q40" s="400"/>
      <c r="R40" s="400" t="str">
        <f ca="1">IF(AND('Mapa final'!$H$34="Muy Baja",'Mapa final'!$L$34="Menor"),CONCATENATE("R",'Mapa final'!$A$34),"")</f>
        <v/>
      </c>
      <c r="S40" s="400"/>
      <c r="T40" s="400" t="str">
        <f ca="1">IF(AND('Mapa final'!$H$37="Muy Baja",'Mapa final'!$L$37="Menor"),CONCATENATE("R",'Mapa final'!$A$37),"")</f>
        <v/>
      </c>
      <c r="U40" s="401"/>
      <c r="V40" s="408" t="str">
        <f ca="1">IF(AND('Mapa final'!$H$28="Muy Baja",'Mapa final'!$L$28="Moderado"),CONCATENATE("R",'Mapa final'!$A$28),"")</f>
        <v/>
      </c>
      <c r="W40" s="409"/>
      <c r="X40" s="409" t="str">
        <f ca="1">IF(AND('Mapa final'!$H$34="Muy Baja",'Mapa final'!$L$34="Moderado"),CONCATENATE("R",'Mapa final'!$A$34),"")</f>
        <v/>
      </c>
      <c r="Y40" s="409"/>
      <c r="Z40" s="409" t="str">
        <f ca="1">IF(AND('Mapa final'!$H$37="Muy Baja",'Mapa final'!$L$37="Moderado"),CONCATENATE("R",'Mapa final'!$A$37),"")</f>
        <v/>
      </c>
      <c r="AA40" s="410"/>
      <c r="AB40" s="426" t="str">
        <f ca="1">IF(AND('Mapa final'!$H$28="Muy Baja",'Mapa final'!$L$28="Mayor"),CONCATENATE("R",'Mapa final'!$A$28),"")</f>
        <v/>
      </c>
      <c r="AC40" s="427"/>
      <c r="AD40" s="427" t="str">
        <f ca="1">IF(AND('Mapa final'!$H$34="Muy Baja",'Mapa final'!$L$34="Mayor"),CONCATENATE("R",'Mapa final'!$A$34),"")</f>
        <v/>
      </c>
      <c r="AE40" s="427"/>
      <c r="AF40" s="427" t="str">
        <f ca="1">IF(AND('Mapa final'!$H$37="Muy Baja",'Mapa final'!$L$37="Mayor"),CONCATENATE("R",'Mapa final'!$A$37),"")</f>
        <v/>
      </c>
      <c r="AG40" s="428"/>
      <c r="AH40" s="417" t="str">
        <f ca="1">IF(AND('Mapa final'!$H$28="Muy Baja",'Mapa final'!$L$28="Catastrófico"),CONCATENATE("R",'Mapa final'!$A$28),"")</f>
        <v/>
      </c>
      <c r="AI40" s="418"/>
      <c r="AJ40" s="418" t="str">
        <f ca="1">IF(AND('Mapa final'!$H$34="Muy Baja",'Mapa final'!$L$34="Catastrófico"),CONCATENATE("R",'Mapa final'!$A$34),"")</f>
        <v/>
      </c>
      <c r="AK40" s="418"/>
      <c r="AL40" s="418" t="str">
        <f ca="1">IF(AND('Mapa final'!$H$37="Muy Baja",'Mapa final'!$L$37="Catastrófico"),CONCATENATE("R",'Mapa final'!$A$37),"")</f>
        <v/>
      </c>
      <c r="AM40" s="419"/>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446"/>
      <c r="C41" s="446"/>
      <c r="D41" s="447"/>
      <c r="E41" s="439"/>
      <c r="F41" s="440"/>
      <c r="G41" s="440"/>
      <c r="H41" s="440"/>
      <c r="I41" s="441"/>
      <c r="J41" s="399"/>
      <c r="K41" s="400"/>
      <c r="L41" s="400"/>
      <c r="M41" s="400"/>
      <c r="N41" s="400"/>
      <c r="O41" s="401"/>
      <c r="P41" s="399"/>
      <c r="Q41" s="400"/>
      <c r="R41" s="400"/>
      <c r="S41" s="400"/>
      <c r="T41" s="400"/>
      <c r="U41" s="401"/>
      <c r="V41" s="408"/>
      <c r="W41" s="409"/>
      <c r="X41" s="409"/>
      <c r="Y41" s="409"/>
      <c r="Z41" s="409"/>
      <c r="AA41" s="410"/>
      <c r="AB41" s="426"/>
      <c r="AC41" s="427"/>
      <c r="AD41" s="427"/>
      <c r="AE41" s="427"/>
      <c r="AF41" s="427"/>
      <c r="AG41" s="428"/>
      <c r="AH41" s="417"/>
      <c r="AI41" s="418"/>
      <c r="AJ41" s="418"/>
      <c r="AK41" s="418"/>
      <c r="AL41" s="418"/>
      <c r="AM41" s="419"/>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446"/>
      <c r="C42" s="446"/>
      <c r="D42" s="447"/>
      <c r="E42" s="439"/>
      <c r="F42" s="440"/>
      <c r="G42" s="440"/>
      <c r="H42" s="440"/>
      <c r="I42" s="441"/>
      <c r="J42" s="399" t="str">
        <f ca="1">IF(AND('Mapa final'!$H$43="Muy Baja",'Mapa final'!$L$43="Leve"),CONCATENATE("R",'Mapa final'!$A$43),"")</f>
        <v/>
      </c>
      <c r="K42" s="400"/>
      <c r="L42" s="400" t="str">
        <f ca="1">IF(AND('Mapa final'!$H$49="Muy Baja",'Mapa final'!$L$49="Leve"),CONCATENATE("R",'Mapa final'!$A$49),"")</f>
        <v/>
      </c>
      <c r="M42" s="400"/>
      <c r="N42" s="400" t="str">
        <f>IF(AND('Mapa final'!$H$55="Muy Baja",'Mapa final'!$L$55="Leve"),CONCATENATE("R",'Mapa final'!$A$55),"")</f>
        <v/>
      </c>
      <c r="O42" s="401"/>
      <c r="P42" s="399" t="str">
        <f ca="1">IF(AND('Mapa final'!$H$43="Muy Baja",'Mapa final'!$L$43="Menor"),CONCATENATE("R",'Mapa final'!$A$43),"")</f>
        <v/>
      </c>
      <c r="Q42" s="400"/>
      <c r="R42" s="400" t="str">
        <f ca="1">IF(AND('Mapa final'!$H$49="Muy Baja",'Mapa final'!$L$49="Menor"),CONCATENATE("R",'Mapa final'!$A$49),"")</f>
        <v/>
      </c>
      <c r="S42" s="400"/>
      <c r="T42" s="400" t="str">
        <f>IF(AND('Mapa final'!$H$55="Muy Baja",'Mapa final'!$L$55="Menor"),CONCATENATE("R",'Mapa final'!$A$55),"")</f>
        <v/>
      </c>
      <c r="U42" s="401"/>
      <c r="V42" s="408" t="str">
        <f ca="1">IF(AND('Mapa final'!$H$43="Muy Baja",'Mapa final'!$L$43="Moderado"),CONCATENATE("R",'Mapa final'!$A$43),"")</f>
        <v/>
      </c>
      <c r="W42" s="409"/>
      <c r="X42" s="409" t="str">
        <f ca="1">IF(AND('Mapa final'!$H$49="Muy Baja",'Mapa final'!$L$49="Moderado"),CONCATENATE("R",'Mapa final'!$A$49),"")</f>
        <v/>
      </c>
      <c r="Y42" s="409"/>
      <c r="Z42" s="409" t="str">
        <f>IF(AND('Mapa final'!$H$55="Muy Baja",'Mapa final'!$L$55="Moderado"),CONCATENATE("R",'Mapa final'!$A$55),"")</f>
        <v/>
      </c>
      <c r="AA42" s="410"/>
      <c r="AB42" s="426" t="str">
        <f ca="1">IF(AND('Mapa final'!$H$43="Muy Baja",'Mapa final'!$L$43="Mayor"),CONCATENATE("R",'Mapa final'!$A$43),"")</f>
        <v/>
      </c>
      <c r="AC42" s="427"/>
      <c r="AD42" s="427" t="str">
        <f ca="1">IF(AND('Mapa final'!$H$49="Muy Baja",'Mapa final'!$L$49="Mayor"),CONCATENATE("R",'Mapa final'!$A$49),"")</f>
        <v/>
      </c>
      <c r="AE42" s="427"/>
      <c r="AF42" s="427" t="str">
        <f>IF(AND('Mapa final'!$H$55="Muy Baja",'Mapa final'!$L$55="Mayor"),CONCATENATE("R",'Mapa final'!$A$55),"")</f>
        <v/>
      </c>
      <c r="AG42" s="428"/>
      <c r="AH42" s="417" t="str">
        <f ca="1">IF(AND('Mapa final'!$H$43="Muy Baja",'Mapa final'!$L$43="Catastrófico"),CONCATENATE("R",'Mapa final'!$A$43),"")</f>
        <v/>
      </c>
      <c r="AI42" s="418"/>
      <c r="AJ42" s="418" t="str">
        <f ca="1">IF(AND('Mapa final'!$H$49="Muy Baja",'Mapa final'!$L$49="Catastrófico"),CONCATENATE("R",'Mapa final'!$A$49),"")</f>
        <v/>
      </c>
      <c r="AK42" s="418"/>
      <c r="AL42" s="418" t="str">
        <f>IF(AND('Mapa final'!$H$55="Muy Baja",'Mapa final'!$L$55="Catastrófico"),CONCATENATE("R",'Mapa final'!$A$55),"")</f>
        <v/>
      </c>
      <c r="AM42" s="419"/>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446"/>
      <c r="C43" s="446"/>
      <c r="D43" s="447"/>
      <c r="E43" s="439"/>
      <c r="F43" s="440"/>
      <c r="G43" s="440"/>
      <c r="H43" s="440"/>
      <c r="I43" s="441"/>
      <c r="J43" s="399"/>
      <c r="K43" s="400"/>
      <c r="L43" s="400"/>
      <c r="M43" s="400"/>
      <c r="N43" s="400"/>
      <c r="O43" s="401"/>
      <c r="P43" s="399"/>
      <c r="Q43" s="400"/>
      <c r="R43" s="400"/>
      <c r="S43" s="400"/>
      <c r="T43" s="400"/>
      <c r="U43" s="401"/>
      <c r="V43" s="408"/>
      <c r="W43" s="409"/>
      <c r="X43" s="409"/>
      <c r="Y43" s="409"/>
      <c r="Z43" s="409"/>
      <c r="AA43" s="410"/>
      <c r="AB43" s="426"/>
      <c r="AC43" s="427"/>
      <c r="AD43" s="427"/>
      <c r="AE43" s="427"/>
      <c r="AF43" s="427"/>
      <c r="AG43" s="428"/>
      <c r="AH43" s="417"/>
      <c r="AI43" s="418"/>
      <c r="AJ43" s="418"/>
      <c r="AK43" s="418"/>
      <c r="AL43" s="418"/>
      <c r="AM43" s="419"/>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446"/>
      <c r="C44" s="446"/>
      <c r="D44" s="447"/>
      <c r="E44" s="439"/>
      <c r="F44" s="440"/>
      <c r="G44" s="440"/>
      <c r="H44" s="440"/>
      <c r="I44" s="441"/>
      <c r="J44" s="399" t="str">
        <f ca="1">IF(AND('Mapa final'!$H$61="Muy Baja",'Mapa final'!$L$61="Leve"),CONCATENATE("R",'Mapa final'!$A$61),"")</f>
        <v/>
      </c>
      <c r="K44" s="400"/>
      <c r="L44" s="400" t="str">
        <f>IF(AND('Mapa final'!$H$67="Muy Baja",'Mapa final'!$L$67="Leve"),CONCATENATE("R",'Mapa final'!$A$67),"")</f>
        <v/>
      </c>
      <c r="M44" s="400"/>
      <c r="N44" s="400" t="str">
        <f>IF(AND('Mapa final'!$H$73="Muy Baja",'Mapa final'!$L$73="Leve"),CONCATENATE("R",'Mapa final'!$A$73),"")</f>
        <v/>
      </c>
      <c r="O44" s="401"/>
      <c r="P44" s="399" t="str">
        <f ca="1">IF(AND('Mapa final'!$H$61="Muy Baja",'Mapa final'!$L$61="Menor"),CONCATENATE("R",'Mapa final'!$A$61),"")</f>
        <v/>
      </c>
      <c r="Q44" s="400"/>
      <c r="R44" s="400" t="str">
        <f>IF(AND('Mapa final'!$H$67="Muy Baja",'Mapa final'!$L$67="Menor"),CONCATENATE("R",'Mapa final'!$A$67),"")</f>
        <v/>
      </c>
      <c r="S44" s="400"/>
      <c r="T44" s="400" t="str">
        <f>IF(AND('Mapa final'!$H$73="Muy Baja",'Mapa final'!$L$73="Menor"),CONCATENATE("R",'Mapa final'!$A$73),"")</f>
        <v/>
      </c>
      <c r="U44" s="401"/>
      <c r="V44" s="408" t="str">
        <f ca="1">IF(AND('Mapa final'!$H$61="Muy Baja",'Mapa final'!$L$61="Moderado"),CONCATENATE("R",'Mapa final'!$A$61),"")</f>
        <v/>
      </c>
      <c r="W44" s="409"/>
      <c r="X44" s="409" t="str">
        <f>IF(AND('Mapa final'!$H$67="Muy Baja",'Mapa final'!$L$67="Moderado"),CONCATENATE("R",'Mapa final'!$A$67),"")</f>
        <v/>
      </c>
      <c r="Y44" s="409"/>
      <c r="Z44" s="409" t="str">
        <f>IF(AND('Mapa final'!$H$73="Muy Baja",'Mapa final'!$L$73="Moderado"),CONCATENATE("R",'Mapa final'!$A$73),"")</f>
        <v/>
      </c>
      <c r="AA44" s="410"/>
      <c r="AB44" s="426" t="str">
        <f ca="1">IF(AND('Mapa final'!$H$61="Muy Baja",'Mapa final'!$L$61="Mayor"),CONCATENATE("R",'Mapa final'!$A$61),"")</f>
        <v/>
      </c>
      <c r="AC44" s="427"/>
      <c r="AD44" s="427" t="str">
        <f>IF(AND('Mapa final'!$H$67="Muy Baja",'Mapa final'!$L$67="Mayor"),CONCATENATE("R",'Mapa final'!$A$67),"")</f>
        <v/>
      </c>
      <c r="AE44" s="427"/>
      <c r="AF44" s="427" t="str">
        <f>IF(AND('Mapa final'!$H$73="Muy Baja",'Mapa final'!$L$73="Mayor"),CONCATENATE("R",'Mapa final'!$A$73),"")</f>
        <v/>
      </c>
      <c r="AG44" s="428"/>
      <c r="AH44" s="417" t="str">
        <f ca="1">IF(AND('Mapa final'!$H$61="Muy Baja",'Mapa final'!$L$61="Catastrófico"),CONCATENATE("R",'Mapa final'!$A$61),"")</f>
        <v/>
      </c>
      <c r="AI44" s="418"/>
      <c r="AJ44" s="418" t="str">
        <f>IF(AND('Mapa final'!$H$67="Muy Baja",'Mapa final'!$L$67="Catastrófico"),CONCATENATE("R",'Mapa final'!$A$67),"")</f>
        <v/>
      </c>
      <c r="AK44" s="418"/>
      <c r="AL44" s="418" t="str">
        <f>IF(AND('Mapa final'!$H$73="Muy Baja",'Mapa final'!$L$73="Catastrófico"),CONCATENATE("R",'Mapa final'!$A$73),"")</f>
        <v/>
      </c>
      <c r="AM44" s="419"/>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446"/>
      <c r="C45" s="446"/>
      <c r="D45" s="447"/>
      <c r="E45" s="442"/>
      <c r="F45" s="443"/>
      <c r="G45" s="443"/>
      <c r="H45" s="443"/>
      <c r="I45" s="444"/>
      <c r="J45" s="402"/>
      <c r="K45" s="403"/>
      <c r="L45" s="403"/>
      <c r="M45" s="403"/>
      <c r="N45" s="403"/>
      <c r="O45" s="404"/>
      <c r="P45" s="402"/>
      <c r="Q45" s="403"/>
      <c r="R45" s="403"/>
      <c r="S45" s="403"/>
      <c r="T45" s="403"/>
      <c r="U45" s="404"/>
      <c r="V45" s="411"/>
      <c r="W45" s="412"/>
      <c r="X45" s="412"/>
      <c r="Y45" s="412"/>
      <c r="Z45" s="412"/>
      <c r="AA45" s="413"/>
      <c r="AB45" s="429"/>
      <c r="AC45" s="430"/>
      <c r="AD45" s="430"/>
      <c r="AE45" s="430"/>
      <c r="AF45" s="430"/>
      <c r="AG45" s="431"/>
      <c r="AH45" s="420"/>
      <c r="AI45" s="421"/>
      <c r="AJ45" s="421"/>
      <c r="AK45" s="421"/>
      <c r="AL45" s="421"/>
      <c r="AM45" s="42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436" t="s">
        <v>111</v>
      </c>
      <c r="K46" s="437"/>
      <c r="L46" s="437"/>
      <c r="M46" s="437"/>
      <c r="N46" s="437"/>
      <c r="O46" s="438"/>
      <c r="P46" s="436" t="s">
        <v>110</v>
      </c>
      <c r="Q46" s="437"/>
      <c r="R46" s="437"/>
      <c r="S46" s="437"/>
      <c r="T46" s="437"/>
      <c r="U46" s="438"/>
      <c r="V46" s="436" t="s">
        <v>109</v>
      </c>
      <c r="W46" s="437"/>
      <c r="X46" s="437"/>
      <c r="Y46" s="437"/>
      <c r="Z46" s="437"/>
      <c r="AA46" s="438"/>
      <c r="AB46" s="436" t="s">
        <v>108</v>
      </c>
      <c r="AC46" s="445"/>
      <c r="AD46" s="437"/>
      <c r="AE46" s="437"/>
      <c r="AF46" s="437"/>
      <c r="AG46" s="438"/>
      <c r="AH46" s="436" t="s">
        <v>107</v>
      </c>
      <c r="AI46" s="437"/>
      <c r="AJ46" s="437"/>
      <c r="AK46" s="437"/>
      <c r="AL46" s="437"/>
      <c r="AM46" s="438"/>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439"/>
      <c r="K47" s="440"/>
      <c r="L47" s="440"/>
      <c r="M47" s="440"/>
      <c r="N47" s="440"/>
      <c r="O47" s="441"/>
      <c r="P47" s="439"/>
      <c r="Q47" s="440"/>
      <c r="R47" s="440"/>
      <c r="S47" s="440"/>
      <c r="T47" s="440"/>
      <c r="U47" s="441"/>
      <c r="V47" s="439"/>
      <c r="W47" s="440"/>
      <c r="X47" s="440"/>
      <c r="Y47" s="440"/>
      <c r="Z47" s="440"/>
      <c r="AA47" s="441"/>
      <c r="AB47" s="439"/>
      <c r="AC47" s="440"/>
      <c r="AD47" s="440"/>
      <c r="AE47" s="440"/>
      <c r="AF47" s="440"/>
      <c r="AG47" s="441"/>
      <c r="AH47" s="439"/>
      <c r="AI47" s="440"/>
      <c r="AJ47" s="440"/>
      <c r="AK47" s="440"/>
      <c r="AL47" s="440"/>
      <c r="AM47" s="441"/>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439"/>
      <c r="K48" s="440"/>
      <c r="L48" s="440"/>
      <c r="M48" s="440"/>
      <c r="N48" s="440"/>
      <c r="O48" s="441"/>
      <c r="P48" s="439"/>
      <c r="Q48" s="440"/>
      <c r="R48" s="440"/>
      <c r="S48" s="440"/>
      <c r="T48" s="440"/>
      <c r="U48" s="441"/>
      <c r="V48" s="439"/>
      <c r="W48" s="440"/>
      <c r="X48" s="440"/>
      <c r="Y48" s="440"/>
      <c r="Z48" s="440"/>
      <c r="AA48" s="441"/>
      <c r="AB48" s="439"/>
      <c r="AC48" s="440"/>
      <c r="AD48" s="440"/>
      <c r="AE48" s="440"/>
      <c r="AF48" s="440"/>
      <c r="AG48" s="441"/>
      <c r="AH48" s="439"/>
      <c r="AI48" s="440"/>
      <c r="AJ48" s="440"/>
      <c r="AK48" s="440"/>
      <c r="AL48" s="440"/>
      <c r="AM48" s="441"/>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439"/>
      <c r="K49" s="440"/>
      <c r="L49" s="440"/>
      <c r="M49" s="440"/>
      <c r="N49" s="440"/>
      <c r="O49" s="441"/>
      <c r="P49" s="439"/>
      <c r="Q49" s="440"/>
      <c r="R49" s="440"/>
      <c r="S49" s="440"/>
      <c r="T49" s="440"/>
      <c r="U49" s="441"/>
      <c r="V49" s="439"/>
      <c r="W49" s="440"/>
      <c r="X49" s="440"/>
      <c r="Y49" s="440"/>
      <c r="Z49" s="440"/>
      <c r="AA49" s="441"/>
      <c r="AB49" s="439"/>
      <c r="AC49" s="440"/>
      <c r="AD49" s="440"/>
      <c r="AE49" s="440"/>
      <c r="AF49" s="440"/>
      <c r="AG49" s="441"/>
      <c r="AH49" s="439"/>
      <c r="AI49" s="440"/>
      <c r="AJ49" s="440"/>
      <c r="AK49" s="440"/>
      <c r="AL49" s="440"/>
      <c r="AM49" s="44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439"/>
      <c r="K50" s="440"/>
      <c r="L50" s="440"/>
      <c r="M50" s="440"/>
      <c r="N50" s="440"/>
      <c r="O50" s="441"/>
      <c r="P50" s="439"/>
      <c r="Q50" s="440"/>
      <c r="R50" s="440"/>
      <c r="S50" s="440"/>
      <c r="T50" s="440"/>
      <c r="U50" s="441"/>
      <c r="V50" s="439"/>
      <c r="W50" s="440"/>
      <c r="X50" s="440"/>
      <c r="Y50" s="440"/>
      <c r="Z50" s="440"/>
      <c r="AA50" s="441"/>
      <c r="AB50" s="439"/>
      <c r="AC50" s="440"/>
      <c r="AD50" s="440"/>
      <c r="AE50" s="440"/>
      <c r="AF50" s="440"/>
      <c r="AG50" s="441"/>
      <c r="AH50" s="439"/>
      <c r="AI50" s="440"/>
      <c r="AJ50" s="440"/>
      <c r="AK50" s="440"/>
      <c r="AL50" s="440"/>
      <c r="AM50" s="44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442"/>
      <c r="K51" s="443"/>
      <c r="L51" s="443"/>
      <c r="M51" s="443"/>
      <c r="N51" s="443"/>
      <c r="O51" s="444"/>
      <c r="P51" s="442"/>
      <c r="Q51" s="443"/>
      <c r="R51" s="443"/>
      <c r="S51" s="443"/>
      <c r="T51" s="443"/>
      <c r="U51" s="444"/>
      <c r="V51" s="442"/>
      <c r="W51" s="443"/>
      <c r="X51" s="443"/>
      <c r="Y51" s="443"/>
      <c r="Z51" s="443"/>
      <c r="AA51" s="444"/>
      <c r="AB51" s="442"/>
      <c r="AC51" s="443"/>
      <c r="AD51" s="443"/>
      <c r="AE51" s="443"/>
      <c r="AF51" s="443"/>
      <c r="AG51" s="444"/>
      <c r="AH51" s="442"/>
      <c r="AI51" s="443"/>
      <c r="AJ51" s="443"/>
      <c r="AK51" s="443"/>
      <c r="AL51" s="443"/>
      <c r="AM51" s="444"/>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1" sqref="S31"/>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513" t="s">
        <v>157</v>
      </c>
      <c r="C2" s="514"/>
      <c r="D2" s="514"/>
      <c r="E2" s="514"/>
      <c r="F2" s="514"/>
      <c r="G2" s="514"/>
      <c r="H2" s="514"/>
      <c r="I2" s="514"/>
      <c r="J2" s="435" t="s">
        <v>2</v>
      </c>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514"/>
      <c r="C3" s="514"/>
      <c r="D3" s="514"/>
      <c r="E3" s="514"/>
      <c r="F3" s="514"/>
      <c r="G3" s="514"/>
      <c r="H3" s="514"/>
      <c r="I3" s="514"/>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514"/>
      <c r="C4" s="514"/>
      <c r="D4" s="514"/>
      <c r="E4" s="514"/>
      <c r="F4" s="514"/>
      <c r="G4" s="514"/>
      <c r="H4" s="514"/>
      <c r="I4" s="514"/>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446" t="s">
        <v>4</v>
      </c>
      <c r="C6" s="446"/>
      <c r="D6" s="447"/>
      <c r="E6" s="484" t="s">
        <v>115</v>
      </c>
      <c r="F6" s="485"/>
      <c r="G6" s="485"/>
      <c r="H6" s="485"/>
      <c r="I6" s="486"/>
      <c r="J6" s="45" t="str">
        <f ca="1">IF(AND('Mapa final'!$Y$10="Muy Alta",'Mapa final'!$AA$10="Leve"),CONCATENATE("R1C",'Mapa final'!$O$10),"")</f>
        <v/>
      </c>
      <c r="K6" s="46" t="str">
        <f>IF(AND('Mapa final'!$Y$11="Muy Alta",'Mapa final'!$AA$11="Leve"),CONCATENATE("R1C",'Mapa final'!$O$11),"")</f>
        <v/>
      </c>
      <c r="L6" s="46" t="str">
        <f>IF(AND('Mapa final'!$Y$12="Muy Alta",'Mapa final'!$AA$12="Leve"),CONCATENATE("R1C",'Mapa final'!$O$12),"")</f>
        <v/>
      </c>
      <c r="M6" s="46" t="str">
        <f>IF(AND('Mapa final'!$Y$13="Muy Alta",'Mapa final'!$AA$13="Leve"),CONCATENATE("R1C",'Mapa final'!$O$13),"")</f>
        <v/>
      </c>
      <c r="N6" s="46" t="str">
        <f>IF(AND('Mapa final'!$Y$14="Muy Alta",'Mapa final'!$AA$14="Leve"),CONCATENATE("R1C",'Mapa final'!$O$14),"")</f>
        <v/>
      </c>
      <c r="O6" s="47" t="str">
        <f>IF(AND('Mapa final'!$Y$15="Muy Alta",'Mapa final'!$AA$15="Leve"),CONCATENATE("R1C",'Mapa final'!$O$15),"")</f>
        <v/>
      </c>
      <c r="P6" s="45" t="str">
        <f ca="1">IF(AND('Mapa final'!$Y$10="Muy Alta",'Mapa final'!$AA$10="Menor"),CONCATENATE("R1C",'Mapa final'!$O$10),"")</f>
        <v/>
      </c>
      <c r="Q6" s="46" t="str">
        <f>IF(AND('Mapa final'!$Y$11="Muy Alta",'Mapa final'!$AA$11="Menor"),CONCATENATE("R1C",'Mapa final'!$O$11),"")</f>
        <v/>
      </c>
      <c r="R6" s="46" t="str">
        <f>IF(AND('Mapa final'!$Y$12="Muy Alta",'Mapa final'!$AA$12="Menor"),CONCATENATE("R1C",'Mapa final'!$O$12),"")</f>
        <v/>
      </c>
      <c r="S6" s="46" t="str">
        <f>IF(AND('Mapa final'!$Y$13="Muy Alta",'Mapa final'!$AA$13="Menor"),CONCATENATE("R1C",'Mapa final'!$O$13),"")</f>
        <v/>
      </c>
      <c r="T6" s="46" t="str">
        <f>IF(AND('Mapa final'!$Y$14="Muy Alta",'Mapa final'!$AA$14="Menor"),CONCATENATE("R1C",'Mapa final'!$O$14),"")</f>
        <v/>
      </c>
      <c r="U6" s="47" t="str">
        <f>IF(AND('Mapa final'!$Y$15="Muy Alta",'Mapa final'!$AA$15="Menor"),CONCATENATE("R1C",'Mapa final'!$O$15),"")</f>
        <v/>
      </c>
      <c r="V6" s="45" t="str">
        <f ca="1">IF(AND('Mapa final'!$Y$10="Muy Alta",'Mapa final'!$AA$10="Moderado"),CONCATENATE("R1C",'Mapa final'!$O$10),"")</f>
        <v/>
      </c>
      <c r="W6" s="46" t="str">
        <f>IF(AND('Mapa final'!$Y$11="Muy Alta",'Mapa final'!$AA$11="Moderado"),CONCATENATE("R1C",'Mapa final'!$O$11),"")</f>
        <v/>
      </c>
      <c r="X6" s="46" t="str">
        <f>IF(AND('Mapa final'!$Y$12="Muy Alta",'Mapa final'!$AA$12="Moderado"),CONCATENATE("R1C",'Mapa final'!$O$12),"")</f>
        <v/>
      </c>
      <c r="Y6" s="46" t="str">
        <f>IF(AND('Mapa final'!$Y$13="Muy Alta",'Mapa final'!$AA$13="Moderado"),CONCATENATE("R1C",'Mapa final'!$O$13),"")</f>
        <v/>
      </c>
      <c r="Z6" s="46" t="str">
        <f>IF(AND('Mapa final'!$Y$14="Muy Alta",'Mapa final'!$AA$14="Moderado"),CONCATENATE("R1C",'Mapa final'!$O$14),"")</f>
        <v/>
      </c>
      <c r="AA6" s="47" t="str">
        <f>IF(AND('Mapa final'!$Y$15="Muy Alta",'Mapa final'!$AA$15="Moderado"),CONCATENATE("R1C",'Mapa final'!$O$15),"")</f>
        <v/>
      </c>
      <c r="AB6" s="45" t="str">
        <f ca="1">IF(AND('Mapa final'!$Y$10="Muy Alta",'Mapa final'!$AA$10="Mayor"),CONCATENATE("R1C",'Mapa final'!$O$10),"")</f>
        <v/>
      </c>
      <c r="AC6" s="46" t="str">
        <f>IF(AND('Mapa final'!$Y$11="Muy Alta",'Mapa final'!$AA$11="Mayor"),CONCATENATE("R1C",'Mapa final'!$O$11),"")</f>
        <v/>
      </c>
      <c r="AD6" s="46" t="str">
        <f>IF(AND('Mapa final'!$Y$12="Muy Alta",'Mapa final'!$AA$12="Mayor"),CONCATENATE("R1C",'Mapa final'!$O$12),"")</f>
        <v/>
      </c>
      <c r="AE6" s="46" t="str">
        <f>IF(AND('Mapa final'!$Y$13="Muy Alta",'Mapa final'!$AA$13="Mayor"),CONCATENATE("R1C",'Mapa final'!$O$13),"")</f>
        <v/>
      </c>
      <c r="AF6" s="46" t="str">
        <f>IF(AND('Mapa final'!$Y$14="Muy Alta",'Mapa final'!$AA$14="Mayor"),CONCATENATE("R1C",'Mapa final'!$O$14),"")</f>
        <v/>
      </c>
      <c r="AG6" s="47" t="str">
        <f>IF(AND('Mapa final'!$Y$15="Muy Alta",'Mapa final'!$AA$15="Mayor"),CONCATENATE("R1C",'Mapa final'!$O$15),"")</f>
        <v/>
      </c>
      <c r="AH6" s="48" t="str">
        <f ca="1">IF(AND('Mapa final'!$Y$10="Muy Alta",'Mapa final'!$AA$10="Catastrófico"),CONCATENATE("R1C",'Mapa final'!$O$10),"")</f>
        <v/>
      </c>
      <c r="AI6" s="49" t="str">
        <f>IF(AND('Mapa final'!$Y$11="Muy Alta",'Mapa final'!$AA$11="Catastrófico"),CONCATENATE("R1C",'Mapa final'!$O$11),"")</f>
        <v/>
      </c>
      <c r="AJ6" s="49" t="str">
        <f>IF(AND('Mapa final'!$Y$12="Muy Alta",'Mapa final'!$AA$12="Catastrófico"),CONCATENATE("R1C",'Mapa final'!$O$12),"")</f>
        <v/>
      </c>
      <c r="AK6" s="49" t="str">
        <f>IF(AND('Mapa final'!$Y$13="Muy Alta",'Mapa final'!$AA$13="Catastrófico"),CONCATENATE("R1C",'Mapa final'!$O$13),"")</f>
        <v/>
      </c>
      <c r="AL6" s="49" t="str">
        <f>IF(AND('Mapa final'!$Y$14="Muy Alta",'Mapa final'!$AA$14="Catastrófico"),CONCATENATE("R1C",'Mapa final'!$O$14),"")</f>
        <v/>
      </c>
      <c r="AM6" s="50" t="str">
        <f>IF(AND('Mapa final'!$Y$15="Muy Alta",'Mapa final'!$AA$15="Catastrófico"),CONCATENATE("R1C",'Mapa final'!$O$15),"")</f>
        <v/>
      </c>
      <c r="AN6" s="82"/>
      <c r="AO6" s="504" t="s">
        <v>78</v>
      </c>
      <c r="AP6" s="505"/>
      <c r="AQ6" s="505"/>
      <c r="AR6" s="505"/>
      <c r="AS6" s="505"/>
      <c r="AT6" s="506"/>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446"/>
      <c r="C7" s="446"/>
      <c r="D7" s="447"/>
      <c r="E7" s="487"/>
      <c r="F7" s="488"/>
      <c r="G7" s="488"/>
      <c r="H7" s="488"/>
      <c r="I7" s="489"/>
      <c r="J7" s="51" t="str">
        <f ca="1">IF(AND('Mapa final'!$Y$16="Muy Alta",'Mapa final'!$AA$16="Leve"),CONCATENATE("R2C",'Mapa final'!$O$16),"")</f>
        <v/>
      </c>
      <c r="K7" s="52" t="str">
        <f>IF(AND('Mapa final'!$Y$17="Muy Alta",'Mapa final'!$AA$17="Leve"),CONCATENATE("R2C",'Mapa final'!$O$17),"")</f>
        <v/>
      </c>
      <c r="L7" s="52" t="str">
        <f>IF(AND('Mapa final'!$Y$18="Muy Alta",'Mapa final'!$AA$18="Leve"),CONCATENATE("R2C",'Mapa final'!$O$18),"")</f>
        <v/>
      </c>
      <c r="M7" s="52" t="str">
        <f>IF(AND('Mapa final'!$Y$19="Muy Alta",'Mapa final'!$AA$19="Leve"),CONCATENATE("R2C",'Mapa final'!$O$19),"")</f>
        <v/>
      </c>
      <c r="N7" s="52" t="str">
        <f>IF(AND('Mapa final'!$Y$20="Muy Alta",'Mapa final'!$AA$20="Leve"),CONCATENATE("R2C",'Mapa final'!$O$20),"")</f>
        <v/>
      </c>
      <c r="O7" s="53" t="str">
        <f>IF(AND('Mapa final'!$Y$21="Muy Alta",'Mapa final'!$AA$21="Leve"),CONCATENATE("R2C",'Mapa final'!$O$21),"")</f>
        <v/>
      </c>
      <c r="P7" s="51" t="str">
        <f ca="1">IF(AND('Mapa final'!$Y$16="Muy Alta",'Mapa final'!$AA$16="Menor"),CONCATENATE("R2C",'Mapa final'!$O$16),"")</f>
        <v/>
      </c>
      <c r="Q7" s="52" t="str">
        <f>IF(AND('Mapa final'!$Y$17="Muy Alta",'Mapa final'!$AA$17="Menor"),CONCATENATE("R2C",'Mapa final'!$O$17),"")</f>
        <v/>
      </c>
      <c r="R7" s="52" t="str">
        <f>IF(AND('Mapa final'!$Y$18="Muy Alta",'Mapa final'!$AA$18="Menor"),CONCATENATE("R2C",'Mapa final'!$O$18),"")</f>
        <v/>
      </c>
      <c r="S7" s="52" t="str">
        <f>IF(AND('Mapa final'!$Y$19="Muy Alta",'Mapa final'!$AA$19="Menor"),CONCATENATE("R2C",'Mapa final'!$O$19),"")</f>
        <v/>
      </c>
      <c r="T7" s="52" t="str">
        <f>IF(AND('Mapa final'!$Y$20="Muy Alta",'Mapa final'!$AA$20="Menor"),CONCATENATE("R2C",'Mapa final'!$O$20),"")</f>
        <v/>
      </c>
      <c r="U7" s="53" t="str">
        <f>IF(AND('Mapa final'!$Y$21="Muy Alta",'Mapa final'!$AA$21="Menor"),CONCATENATE("R2C",'Mapa final'!$O$21),"")</f>
        <v/>
      </c>
      <c r="V7" s="51" t="str">
        <f ca="1">IF(AND('Mapa final'!$Y$16="Muy Alta",'Mapa final'!$AA$16="Moderado"),CONCATENATE("R2C",'Mapa final'!$O$16),"")</f>
        <v/>
      </c>
      <c r="W7" s="52" t="str">
        <f>IF(AND('Mapa final'!$Y$17="Muy Alta",'Mapa final'!$AA$17="Moderado"),CONCATENATE("R2C",'Mapa final'!$O$17),"")</f>
        <v/>
      </c>
      <c r="X7" s="52" t="str">
        <f>IF(AND('Mapa final'!$Y$18="Muy Alta",'Mapa final'!$AA$18="Moderado"),CONCATENATE("R2C",'Mapa final'!$O$18),"")</f>
        <v/>
      </c>
      <c r="Y7" s="52" t="str">
        <f>IF(AND('Mapa final'!$Y$19="Muy Alta",'Mapa final'!$AA$19="Moderado"),CONCATENATE("R2C",'Mapa final'!$O$19),"")</f>
        <v/>
      </c>
      <c r="Z7" s="52" t="str">
        <f>IF(AND('Mapa final'!$Y$20="Muy Alta",'Mapa final'!$AA$20="Moderado"),CONCATENATE("R2C",'Mapa final'!$O$20),"")</f>
        <v/>
      </c>
      <c r="AA7" s="53" t="str">
        <f>IF(AND('Mapa final'!$Y$21="Muy Alta",'Mapa final'!$AA$21="Moderado"),CONCATENATE("R2C",'Mapa final'!$O$21),"")</f>
        <v/>
      </c>
      <c r="AB7" s="51" t="str">
        <f ca="1">IF(AND('Mapa final'!$Y$16="Muy Alta",'Mapa final'!$AA$16="Mayor"),CONCATENATE("R2C",'Mapa final'!$O$16),"")</f>
        <v/>
      </c>
      <c r="AC7" s="52" t="str">
        <f>IF(AND('Mapa final'!$Y$17="Muy Alta",'Mapa final'!$AA$17="Mayor"),CONCATENATE("R2C",'Mapa final'!$O$17),"")</f>
        <v/>
      </c>
      <c r="AD7" s="52" t="str">
        <f>IF(AND('Mapa final'!$Y$18="Muy Alta",'Mapa final'!$AA$18="Mayor"),CONCATENATE("R2C",'Mapa final'!$O$18),"")</f>
        <v/>
      </c>
      <c r="AE7" s="52" t="str">
        <f>IF(AND('Mapa final'!$Y$19="Muy Alta",'Mapa final'!$AA$19="Mayor"),CONCATENATE("R2C",'Mapa final'!$O$19),"")</f>
        <v/>
      </c>
      <c r="AF7" s="52" t="str">
        <f>IF(AND('Mapa final'!$Y$20="Muy Alta",'Mapa final'!$AA$20="Mayor"),CONCATENATE("R2C",'Mapa final'!$O$20),"")</f>
        <v/>
      </c>
      <c r="AG7" s="53" t="str">
        <f>IF(AND('Mapa final'!$Y$21="Muy Alta",'Mapa final'!$AA$21="Mayor"),CONCATENATE("R2C",'Mapa final'!$O$21),"")</f>
        <v/>
      </c>
      <c r="AH7" s="54" t="str">
        <f ca="1">IF(AND('Mapa final'!$Y$16="Muy Alta",'Mapa final'!$AA$16="Catastrófico"),CONCATENATE("R2C",'Mapa final'!$O$16),"")</f>
        <v/>
      </c>
      <c r="AI7" s="55" t="str">
        <f>IF(AND('Mapa final'!$Y$17="Muy Alta",'Mapa final'!$AA$17="Catastrófico"),CONCATENATE("R2C",'Mapa final'!$O$17),"")</f>
        <v/>
      </c>
      <c r="AJ7" s="55" t="str">
        <f>IF(AND('Mapa final'!$Y$18="Muy Alta",'Mapa final'!$AA$18="Catastrófico"),CONCATENATE("R2C",'Mapa final'!$O$18),"")</f>
        <v/>
      </c>
      <c r="AK7" s="55" t="str">
        <f>IF(AND('Mapa final'!$Y$19="Muy Alta",'Mapa final'!$AA$19="Catastrófico"),CONCATENATE("R2C",'Mapa final'!$O$19),"")</f>
        <v/>
      </c>
      <c r="AL7" s="55" t="str">
        <f>IF(AND('Mapa final'!$Y$20="Muy Alta",'Mapa final'!$AA$20="Catastrófico"),CONCATENATE("R2C",'Mapa final'!$O$20),"")</f>
        <v/>
      </c>
      <c r="AM7" s="56" t="str">
        <f>IF(AND('Mapa final'!$Y$21="Muy Alta",'Mapa final'!$AA$21="Catastrófico"),CONCATENATE("R2C",'Mapa final'!$O$21),"")</f>
        <v/>
      </c>
      <c r="AN7" s="82"/>
      <c r="AO7" s="507"/>
      <c r="AP7" s="508"/>
      <c r="AQ7" s="508"/>
      <c r="AR7" s="508"/>
      <c r="AS7" s="508"/>
      <c r="AT7" s="509"/>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446"/>
      <c r="C8" s="446"/>
      <c r="D8" s="447"/>
      <c r="E8" s="487"/>
      <c r="F8" s="488"/>
      <c r="G8" s="488"/>
      <c r="H8" s="488"/>
      <c r="I8" s="489"/>
      <c r="J8" s="51" t="str">
        <f ca="1">IF(AND('Mapa final'!$Y$22="Muy Alta",'Mapa final'!$AA$22="Leve"),CONCATENATE("R3C",'Mapa final'!$O$22),"")</f>
        <v/>
      </c>
      <c r="K8" s="52" t="str">
        <f>IF(AND('Mapa final'!$Y$23="Muy Alta",'Mapa final'!$AA$23="Leve"),CONCATENATE("R3C",'Mapa final'!$O$23),"")</f>
        <v/>
      </c>
      <c r="L8" s="52" t="str">
        <f>IF(AND('Mapa final'!$Y$24="Muy Alta",'Mapa final'!$AA$24="Leve"),CONCATENATE("R3C",'Mapa final'!$O$24),"")</f>
        <v/>
      </c>
      <c r="M8" s="52" t="str">
        <f>IF(AND('Mapa final'!$Y$25="Muy Alta",'Mapa final'!$AA$25="Leve"),CONCATENATE("R3C",'Mapa final'!$O$25),"")</f>
        <v/>
      </c>
      <c r="N8" s="52" t="str">
        <f>IF(AND('Mapa final'!$Y$26="Muy Alta",'Mapa final'!$AA$26="Leve"),CONCATENATE("R3C",'Mapa final'!$O$26),"")</f>
        <v/>
      </c>
      <c r="O8" s="53" t="str">
        <f>IF(AND('Mapa final'!$Y$27="Muy Alta",'Mapa final'!$AA$27="Leve"),CONCATENATE("R3C",'Mapa final'!$O$27),"")</f>
        <v/>
      </c>
      <c r="P8" s="51" t="str">
        <f ca="1">IF(AND('Mapa final'!$Y$22="Muy Alta",'Mapa final'!$AA$22="Menor"),CONCATENATE("R3C",'Mapa final'!$O$22),"")</f>
        <v/>
      </c>
      <c r="Q8" s="52" t="str">
        <f>IF(AND('Mapa final'!$Y$23="Muy Alta",'Mapa final'!$AA$23="Menor"),CONCATENATE("R3C",'Mapa final'!$O$23),"")</f>
        <v/>
      </c>
      <c r="R8" s="52" t="str">
        <f>IF(AND('Mapa final'!$Y$24="Muy Alta",'Mapa final'!$AA$24="Menor"),CONCATENATE("R3C",'Mapa final'!$O$24),"")</f>
        <v/>
      </c>
      <c r="S8" s="52" t="str">
        <f>IF(AND('Mapa final'!$Y$25="Muy Alta",'Mapa final'!$AA$25="Menor"),CONCATENATE("R3C",'Mapa final'!$O$25),"")</f>
        <v/>
      </c>
      <c r="T8" s="52" t="str">
        <f>IF(AND('Mapa final'!$Y$26="Muy Alta",'Mapa final'!$AA$26="Menor"),CONCATENATE("R3C",'Mapa final'!$O$26),"")</f>
        <v/>
      </c>
      <c r="U8" s="53" t="str">
        <f>IF(AND('Mapa final'!$Y$27="Muy Alta",'Mapa final'!$AA$27="Menor"),CONCATENATE("R3C",'Mapa final'!$O$27),"")</f>
        <v/>
      </c>
      <c r="V8" s="51" t="str">
        <f ca="1">IF(AND('Mapa final'!$Y$22="Muy Alta",'Mapa final'!$AA$22="Moderado"),CONCATENATE("R3C",'Mapa final'!$O$22),"")</f>
        <v/>
      </c>
      <c r="W8" s="52" t="str">
        <f>IF(AND('Mapa final'!$Y$23="Muy Alta",'Mapa final'!$AA$23="Moderado"),CONCATENATE("R3C",'Mapa final'!$O$23),"")</f>
        <v/>
      </c>
      <c r="X8" s="52" t="str">
        <f>IF(AND('Mapa final'!$Y$24="Muy Alta",'Mapa final'!$AA$24="Moderado"),CONCATENATE("R3C",'Mapa final'!$O$24),"")</f>
        <v/>
      </c>
      <c r="Y8" s="52" t="str">
        <f>IF(AND('Mapa final'!$Y$25="Muy Alta",'Mapa final'!$AA$25="Moderado"),CONCATENATE("R3C",'Mapa final'!$O$25),"")</f>
        <v/>
      </c>
      <c r="Z8" s="52" t="str">
        <f>IF(AND('Mapa final'!$Y$26="Muy Alta",'Mapa final'!$AA$26="Moderado"),CONCATENATE("R3C",'Mapa final'!$O$26),"")</f>
        <v/>
      </c>
      <c r="AA8" s="53" t="str">
        <f>IF(AND('Mapa final'!$Y$27="Muy Alta",'Mapa final'!$AA$27="Moderado"),CONCATENATE("R3C",'Mapa final'!$O$27),"")</f>
        <v/>
      </c>
      <c r="AB8" s="51" t="str">
        <f ca="1">IF(AND('Mapa final'!$Y$22="Muy Alta",'Mapa final'!$AA$22="Mayor"),CONCATENATE("R3C",'Mapa final'!$O$22),"")</f>
        <v/>
      </c>
      <c r="AC8" s="52" t="str">
        <f>IF(AND('Mapa final'!$Y$23="Muy Alta",'Mapa final'!$AA$23="Mayor"),CONCATENATE("R3C",'Mapa final'!$O$23),"")</f>
        <v/>
      </c>
      <c r="AD8" s="52" t="str">
        <f>IF(AND('Mapa final'!$Y$24="Muy Alta",'Mapa final'!$AA$24="Mayor"),CONCATENATE("R3C",'Mapa final'!$O$24),"")</f>
        <v/>
      </c>
      <c r="AE8" s="52" t="str">
        <f>IF(AND('Mapa final'!$Y$25="Muy Alta",'Mapa final'!$AA$25="Mayor"),CONCATENATE("R3C",'Mapa final'!$O$25),"")</f>
        <v/>
      </c>
      <c r="AF8" s="52" t="str">
        <f>IF(AND('Mapa final'!$Y$26="Muy Alta",'Mapa final'!$AA$26="Mayor"),CONCATENATE("R3C",'Mapa final'!$O$26),"")</f>
        <v/>
      </c>
      <c r="AG8" s="53" t="str">
        <f>IF(AND('Mapa final'!$Y$27="Muy Alta",'Mapa final'!$AA$27="Mayor"),CONCATENATE("R3C",'Mapa final'!$O$27),"")</f>
        <v/>
      </c>
      <c r="AH8" s="54" t="str">
        <f ca="1">IF(AND('Mapa final'!$Y$22="Muy Alta",'Mapa final'!$AA$22="Catastrófico"),CONCATENATE("R3C",'Mapa final'!$O$22),"")</f>
        <v/>
      </c>
      <c r="AI8" s="55" t="str">
        <f>IF(AND('Mapa final'!$Y$23="Muy Alta",'Mapa final'!$AA$23="Catastrófico"),CONCATENATE("R3C",'Mapa final'!$O$23),"")</f>
        <v/>
      </c>
      <c r="AJ8" s="55" t="str">
        <f>IF(AND('Mapa final'!$Y$24="Muy Alta",'Mapa final'!$AA$24="Catastrófico"),CONCATENATE("R3C",'Mapa final'!$O$24),"")</f>
        <v/>
      </c>
      <c r="AK8" s="55" t="str">
        <f>IF(AND('Mapa final'!$Y$25="Muy Alta",'Mapa final'!$AA$25="Catastrófico"),CONCATENATE("R3C",'Mapa final'!$O$25),"")</f>
        <v/>
      </c>
      <c r="AL8" s="55" t="str">
        <f>IF(AND('Mapa final'!$Y$26="Muy Alta",'Mapa final'!$AA$26="Catastrófico"),CONCATENATE("R3C",'Mapa final'!$O$26),"")</f>
        <v/>
      </c>
      <c r="AM8" s="56" t="str">
        <f>IF(AND('Mapa final'!$Y$27="Muy Alta",'Mapa final'!$AA$27="Catastrófico"),CONCATENATE("R3C",'Mapa final'!$O$27),"")</f>
        <v/>
      </c>
      <c r="AN8" s="82"/>
      <c r="AO8" s="507"/>
      <c r="AP8" s="508"/>
      <c r="AQ8" s="508"/>
      <c r="AR8" s="508"/>
      <c r="AS8" s="508"/>
      <c r="AT8" s="509"/>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446"/>
      <c r="C9" s="446"/>
      <c r="D9" s="447"/>
      <c r="E9" s="487"/>
      <c r="F9" s="488"/>
      <c r="G9" s="488"/>
      <c r="H9" s="488"/>
      <c r="I9" s="489"/>
      <c r="J9" s="51" t="str">
        <f ca="1">IF(AND('Mapa final'!$Y$28="Muy Alta",'Mapa final'!$AA$28="Leve"),CONCATENATE("R4C",'Mapa final'!$O$28),"")</f>
        <v/>
      </c>
      <c r="K9" s="52" t="str">
        <f>IF(AND('Mapa final'!$Y$29="Muy Alta",'Mapa final'!$AA$29="Leve"),CONCATENATE("R4C",'Mapa final'!$O$29),"")</f>
        <v/>
      </c>
      <c r="L9" s="52" t="str">
        <f>IF(AND('Mapa final'!$Y$30="Muy Alta",'Mapa final'!$AA$30="Leve"),CONCATENATE("R4C",'Mapa final'!$O$30),"")</f>
        <v/>
      </c>
      <c r="M9" s="52" t="str">
        <f>IF(AND('Mapa final'!$Y$31="Muy Alta",'Mapa final'!$AA$31="Leve"),CONCATENATE("R4C",'Mapa final'!$O$31),"")</f>
        <v/>
      </c>
      <c r="N9" s="52" t="str">
        <f>IF(AND('Mapa final'!$Y$32="Muy Alta",'Mapa final'!$AA$32="Leve"),CONCATENATE("R4C",'Mapa final'!$O$32),"")</f>
        <v/>
      </c>
      <c r="O9" s="53" t="str">
        <f>IF(AND('Mapa final'!$Y$33="Muy Alta",'Mapa final'!$AA$33="Leve"),CONCATENATE("R4C",'Mapa final'!$O$33),"")</f>
        <v/>
      </c>
      <c r="P9" s="51" t="str">
        <f ca="1">IF(AND('Mapa final'!$Y$28="Muy Alta",'Mapa final'!$AA$28="Menor"),CONCATENATE("R4C",'Mapa final'!$O$28),"")</f>
        <v/>
      </c>
      <c r="Q9" s="52" t="str">
        <f>IF(AND('Mapa final'!$Y$29="Muy Alta",'Mapa final'!$AA$29="Menor"),CONCATENATE("R4C",'Mapa final'!$O$29),"")</f>
        <v/>
      </c>
      <c r="R9" s="52" t="str">
        <f>IF(AND('Mapa final'!$Y$30="Muy Alta",'Mapa final'!$AA$30="Menor"),CONCATENATE("R4C",'Mapa final'!$O$30),"")</f>
        <v/>
      </c>
      <c r="S9" s="52" t="str">
        <f>IF(AND('Mapa final'!$Y$31="Muy Alta",'Mapa final'!$AA$31="Menor"),CONCATENATE("R4C",'Mapa final'!$O$31),"")</f>
        <v/>
      </c>
      <c r="T9" s="52" t="str">
        <f>IF(AND('Mapa final'!$Y$32="Muy Alta",'Mapa final'!$AA$32="Menor"),CONCATENATE("R4C",'Mapa final'!$O$32),"")</f>
        <v/>
      </c>
      <c r="U9" s="53" t="str">
        <f>IF(AND('Mapa final'!$Y$33="Muy Alta",'Mapa final'!$AA$33="Menor"),CONCATENATE("R4C",'Mapa final'!$O$33),"")</f>
        <v/>
      </c>
      <c r="V9" s="51" t="str">
        <f ca="1">IF(AND('Mapa final'!$Y$28="Muy Alta",'Mapa final'!$AA$28="Moderado"),CONCATENATE("R4C",'Mapa final'!$O$28),"")</f>
        <v/>
      </c>
      <c r="W9" s="52" t="str">
        <f>IF(AND('Mapa final'!$Y$29="Muy Alta",'Mapa final'!$AA$29="Moderado"),CONCATENATE("R4C",'Mapa final'!$O$29),"")</f>
        <v/>
      </c>
      <c r="X9" s="52" t="str">
        <f>IF(AND('Mapa final'!$Y$30="Muy Alta",'Mapa final'!$AA$30="Moderado"),CONCATENATE("R4C",'Mapa final'!$O$30),"")</f>
        <v/>
      </c>
      <c r="Y9" s="52" t="str">
        <f>IF(AND('Mapa final'!$Y$31="Muy Alta",'Mapa final'!$AA$31="Moderado"),CONCATENATE("R4C",'Mapa final'!$O$31),"")</f>
        <v/>
      </c>
      <c r="Z9" s="52" t="str">
        <f>IF(AND('Mapa final'!$Y$32="Muy Alta",'Mapa final'!$AA$32="Moderado"),CONCATENATE("R4C",'Mapa final'!$O$32),"")</f>
        <v/>
      </c>
      <c r="AA9" s="53" t="str">
        <f>IF(AND('Mapa final'!$Y$33="Muy Alta",'Mapa final'!$AA$33="Moderado"),CONCATENATE("R4C",'Mapa final'!$O$33),"")</f>
        <v/>
      </c>
      <c r="AB9" s="51" t="str">
        <f ca="1">IF(AND('Mapa final'!$Y$28="Muy Alta",'Mapa final'!$AA$28="Mayor"),CONCATENATE("R4C",'Mapa final'!$O$28),"")</f>
        <v/>
      </c>
      <c r="AC9" s="52" t="str">
        <f>IF(AND('Mapa final'!$Y$29="Muy Alta",'Mapa final'!$AA$29="Mayor"),CONCATENATE("R4C",'Mapa final'!$O$29),"")</f>
        <v/>
      </c>
      <c r="AD9" s="52" t="str">
        <f>IF(AND('Mapa final'!$Y$30="Muy Alta",'Mapa final'!$AA$30="Mayor"),CONCATENATE("R4C",'Mapa final'!$O$30),"")</f>
        <v/>
      </c>
      <c r="AE9" s="52" t="str">
        <f>IF(AND('Mapa final'!$Y$31="Muy Alta",'Mapa final'!$AA$31="Mayor"),CONCATENATE("R4C",'Mapa final'!$O$31),"")</f>
        <v/>
      </c>
      <c r="AF9" s="52" t="str">
        <f>IF(AND('Mapa final'!$Y$32="Muy Alta",'Mapa final'!$AA$32="Mayor"),CONCATENATE("R4C",'Mapa final'!$O$32),"")</f>
        <v/>
      </c>
      <c r="AG9" s="53" t="str">
        <f>IF(AND('Mapa final'!$Y$33="Muy Alta",'Mapa final'!$AA$33="Mayor"),CONCATENATE("R4C",'Mapa final'!$O$33),"")</f>
        <v/>
      </c>
      <c r="AH9" s="54" t="str">
        <f ca="1">IF(AND('Mapa final'!$Y$28="Muy Alta",'Mapa final'!$AA$28="Catastrófico"),CONCATENATE("R4C",'Mapa final'!$O$28),"")</f>
        <v/>
      </c>
      <c r="AI9" s="55" t="str">
        <f>IF(AND('Mapa final'!$Y$29="Muy Alta",'Mapa final'!$AA$29="Catastrófico"),CONCATENATE("R4C",'Mapa final'!$O$29),"")</f>
        <v/>
      </c>
      <c r="AJ9" s="55" t="str">
        <f>IF(AND('Mapa final'!$Y$30="Muy Alta",'Mapa final'!$AA$30="Catastrófico"),CONCATENATE("R4C",'Mapa final'!$O$30),"")</f>
        <v/>
      </c>
      <c r="AK9" s="55" t="str">
        <f>IF(AND('Mapa final'!$Y$31="Muy Alta",'Mapa final'!$AA$31="Catastrófico"),CONCATENATE("R4C",'Mapa final'!$O$31),"")</f>
        <v/>
      </c>
      <c r="AL9" s="55" t="str">
        <f>IF(AND('Mapa final'!$Y$32="Muy Alta",'Mapa final'!$AA$32="Catastrófico"),CONCATENATE("R4C",'Mapa final'!$O$32),"")</f>
        <v/>
      </c>
      <c r="AM9" s="56" t="str">
        <f>IF(AND('Mapa final'!$Y$33="Muy Alta",'Mapa final'!$AA$33="Catastrófico"),CONCATENATE("R4C",'Mapa final'!$O$33),"")</f>
        <v/>
      </c>
      <c r="AN9" s="82"/>
      <c r="AO9" s="507"/>
      <c r="AP9" s="508"/>
      <c r="AQ9" s="508"/>
      <c r="AR9" s="508"/>
      <c r="AS9" s="508"/>
      <c r="AT9" s="509"/>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446"/>
      <c r="C10" s="446"/>
      <c r="D10" s="447"/>
      <c r="E10" s="487"/>
      <c r="F10" s="488"/>
      <c r="G10" s="488"/>
      <c r="H10" s="488"/>
      <c r="I10" s="489"/>
      <c r="J10" s="51" t="str">
        <f ca="1">IF(AND('Mapa final'!$Y$34="Muy Alta",'Mapa final'!$AA$34="Leve"),CONCATENATE("R5C",'Mapa final'!$O$34),"")</f>
        <v/>
      </c>
      <c r="K10" s="52" t="e">
        <f>IF(AND('Mapa final'!#REF!="Muy Alta",'Mapa final'!#REF!="Leve"),CONCATENATE("R5C",'Mapa final'!#REF!),"")</f>
        <v>#REF!</v>
      </c>
      <c r="L10" s="52" t="e">
        <f>IF(AND('Mapa final'!#REF!="Muy Alta",'Mapa final'!#REF!="Leve"),CONCATENATE("R5C",'Mapa final'!#REF!),"")</f>
        <v>#REF!</v>
      </c>
      <c r="M10" s="52" t="e">
        <f>IF(AND('Mapa final'!#REF!="Muy Alta",'Mapa final'!#REF!="Leve"),CONCATENATE("R5C",'Mapa final'!#REF!),"")</f>
        <v>#REF!</v>
      </c>
      <c r="N10" s="52" t="str">
        <f>IF(AND('Mapa final'!$Y$35="Muy Alta",'Mapa final'!$AA$35="Leve"),CONCATENATE("R5C",'Mapa final'!$O$35),"")</f>
        <v/>
      </c>
      <c r="O10" s="53" t="str">
        <f>IF(AND('Mapa final'!$Y$36="Muy Alta",'Mapa final'!$AA$36="Leve"),CONCATENATE("R5C",'Mapa final'!$O$36),"")</f>
        <v/>
      </c>
      <c r="P10" s="51" t="str">
        <f ca="1">IF(AND('Mapa final'!$Y$34="Muy Alta",'Mapa final'!$AA$34="Menor"),CONCATENATE("R5C",'Mapa final'!$O$34),"")</f>
        <v/>
      </c>
      <c r="Q10" s="52" t="e">
        <f>IF(AND('Mapa final'!#REF!="Muy Alta",'Mapa final'!#REF!="Menor"),CONCATENATE("R5C",'Mapa final'!#REF!),"")</f>
        <v>#REF!</v>
      </c>
      <c r="R10" s="52" t="e">
        <f>IF(AND('Mapa final'!#REF!="Muy Alta",'Mapa final'!#REF!="Menor"),CONCATENATE("R5C",'Mapa final'!#REF!),"")</f>
        <v>#REF!</v>
      </c>
      <c r="S10" s="52" t="e">
        <f>IF(AND('Mapa final'!#REF!="Muy Alta",'Mapa final'!#REF!="Menor"),CONCATENATE("R5C",'Mapa final'!#REF!),"")</f>
        <v>#REF!</v>
      </c>
      <c r="T10" s="52" t="str">
        <f>IF(AND('Mapa final'!$Y$35="Muy Alta",'Mapa final'!$AA$35="Menor"),CONCATENATE("R5C",'Mapa final'!$O$35),"")</f>
        <v/>
      </c>
      <c r="U10" s="53" t="str">
        <f>IF(AND('Mapa final'!$Y$36="Muy Alta",'Mapa final'!$AA$36="Menor"),CONCATENATE("R5C",'Mapa final'!$O$36),"")</f>
        <v/>
      </c>
      <c r="V10" s="51" t="str">
        <f ca="1">IF(AND('Mapa final'!$Y$34="Muy Alta",'Mapa final'!$AA$34="Moderado"),CONCATENATE("R5C",'Mapa final'!$O$34),"")</f>
        <v/>
      </c>
      <c r="W10" s="52" t="e">
        <f>IF(AND('Mapa final'!#REF!="Muy Alta",'Mapa final'!#REF!="Moderado"),CONCATENATE("R5C",'Mapa final'!#REF!),"")</f>
        <v>#REF!</v>
      </c>
      <c r="X10" s="52" t="e">
        <f>IF(AND('Mapa final'!#REF!="Muy Alta",'Mapa final'!#REF!="Moderado"),CONCATENATE("R5C",'Mapa final'!#REF!),"")</f>
        <v>#REF!</v>
      </c>
      <c r="Y10" s="52" t="e">
        <f>IF(AND('Mapa final'!#REF!="Muy Alta",'Mapa final'!#REF!="Moderado"),CONCATENATE("R5C",'Mapa final'!#REF!),"")</f>
        <v>#REF!</v>
      </c>
      <c r="Z10" s="52" t="str">
        <f>IF(AND('Mapa final'!$Y$35="Muy Alta",'Mapa final'!$AA$35="Moderado"),CONCATENATE("R5C",'Mapa final'!$O$35),"")</f>
        <v/>
      </c>
      <c r="AA10" s="53" t="str">
        <f>IF(AND('Mapa final'!$Y$36="Muy Alta",'Mapa final'!$AA$36="Moderado"),CONCATENATE("R5C",'Mapa final'!$O$36),"")</f>
        <v/>
      </c>
      <c r="AB10" s="51" t="str">
        <f ca="1">IF(AND('Mapa final'!$Y$34="Muy Alta",'Mapa final'!$AA$34="Mayor"),CONCATENATE("R5C",'Mapa final'!$O$34),"")</f>
        <v/>
      </c>
      <c r="AC10" s="52" t="e">
        <f>IF(AND('Mapa final'!#REF!="Muy Alta",'Mapa final'!#REF!="Mayor"),CONCATENATE("R5C",'Mapa final'!#REF!),"")</f>
        <v>#REF!</v>
      </c>
      <c r="AD10" s="52" t="e">
        <f>IF(AND('Mapa final'!#REF!="Muy Alta",'Mapa final'!#REF!="Mayor"),CONCATENATE("R5C",'Mapa final'!#REF!),"")</f>
        <v>#REF!</v>
      </c>
      <c r="AE10" s="52" t="e">
        <f>IF(AND('Mapa final'!#REF!="Muy Alta",'Mapa final'!#REF!="Mayor"),CONCATENATE("R5C",'Mapa final'!#REF!),"")</f>
        <v>#REF!</v>
      </c>
      <c r="AF10" s="52" t="str">
        <f>IF(AND('Mapa final'!$Y$35="Muy Alta",'Mapa final'!$AA$35="Mayor"),CONCATENATE("R5C",'Mapa final'!$O$35),"")</f>
        <v/>
      </c>
      <c r="AG10" s="53" t="str">
        <f>IF(AND('Mapa final'!$Y$36="Muy Alta",'Mapa final'!$AA$36="Mayor"),CONCATENATE("R5C",'Mapa final'!$O$36),"")</f>
        <v/>
      </c>
      <c r="AH10" s="54" t="str">
        <f ca="1">IF(AND('Mapa final'!$Y$34="Muy Alta",'Mapa final'!$AA$34="Catastrófico"),CONCATENATE("R5C",'Mapa final'!$O$34),"")</f>
        <v/>
      </c>
      <c r="AI10" s="55" t="e">
        <f>IF(AND('Mapa final'!#REF!="Muy Alta",'Mapa final'!#REF!="Catastrófico"),CONCATENATE("R5C",'Mapa final'!#REF!),"")</f>
        <v>#REF!</v>
      </c>
      <c r="AJ10" s="55" t="e">
        <f>IF(AND('Mapa final'!#REF!="Muy Alta",'Mapa final'!#REF!="Catastrófico"),CONCATENATE("R5C",'Mapa final'!#REF!),"")</f>
        <v>#REF!</v>
      </c>
      <c r="AK10" s="55" t="e">
        <f>IF(AND('Mapa final'!#REF!="Muy Alta",'Mapa final'!#REF!="Catastrófico"),CONCATENATE("R5C",'Mapa final'!#REF!),"")</f>
        <v>#REF!</v>
      </c>
      <c r="AL10" s="55" t="str">
        <f>IF(AND('Mapa final'!$Y$35="Muy Alta",'Mapa final'!$AA$35="Catastrófico"),CONCATENATE("R5C",'Mapa final'!$O$35),"")</f>
        <v/>
      </c>
      <c r="AM10" s="56" t="str">
        <f>IF(AND('Mapa final'!$Y$36="Muy Alta",'Mapa final'!$AA$36="Catastrófico"),CONCATENATE("R5C",'Mapa final'!$O$36),"")</f>
        <v/>
      </c>
      <c r="AN10" s="82"/>
      <c r="AO10" s="507"/>
      <c r="AP10" s="508"/>
      <c r="AQ10" s="508"/>
      <c r="AR10" s="508"/>
      <c r="AS10" s="508"/>
      <c r="AT10" s="509"/>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446"/>
      <c r="C11" s="446"/>
      <c r="D11" s="447"/>
      <c r="E11" s="487"/>
      <c r="F11" s="488"/>
      <c r="G11" s="488"/>
      <c r="H11" s="488"/>
      <c r="I11" s="489"/>
      <c r="J11" s="51" t="str">
        <f ca="1">IF(AND('Mapa final'!$Y$37="Muy Alta",'Mapa final'!$AA$37="Leve"),CONCATENATE("R6C",'Mapa final'!$O$37),"")</f>
        <v/>
      </c>
      <c r="K11" s="52" t="str">
        <f>IF(AND('Mapa final'!$Y$38="Muy Alta",'Mapa final'!$AA$38="Leve"),CONCATENATE("R6C",'Mapa final'!$O$38),"")</f>
        <v/>
      </c>
      <c r="L11" s="52" t="str">
        <f>IF(AND('Mapa final'!$Y$39="Muy Alta",'Mapa final'!$AA$39="Leve"),CONCATENATE("R6C",'Mapa final'!$O$39),"")</f>
        <v/>
      </c>
      <c r="M11" s="52" t="str">
        <f>IF(AND('Mapa final'!$Y$40="Muy Alta",'Mapa final'!$AA$40="Leve"),CONCATENATE("R6C",'Mapa final'!$O$40),"")</f>
        <v/>
      </c>
      <c r="N11" s="52" t="str">
        <f>IF(AND('Mapa final'!$Y$41="Muy Alta",'Mapa final'!$AA$41="Leve"),CONCATENATE("R6C",'Mapa final'!$O$41),"")</f>
        <v/>
      </c>
      <c r="O11" s="53" t="str">
        <f>IF(AND('Mapa final'!$Y$42="Muy Alta",'Mapa final'!$AA$42="Leve"),CONCATENATE("R6C",'Mapa final'!$O$42),"")</f>
        <v/>
      </c>
      <c r="P11" s="51" t="str">
        <f ca="1">IF(AND('Mapa final'!$Y$37="Muy Alta",'Mapa final'!$AA$37="Menor"),CONCATENATE("R6C",'Mapa final'!$O$37),"")</f>
        <v/>
      </c>
      <c r="Q11" s="52" t="str">
        <f>IF(AND('Mapa final'!$Y$38="Muy Alta",'Mapa final'!$AA$38="Menor"),CONCATENATE("R6C",'Mapa final'!$O$38),"")</f>
        <v/>
      </c>
      <c r="R11" s="52" t="str">
        <f>IF(AND('Mapa final'!$Y$39="Muy Alta",'Mapa final'!$AA$39="Menor"),CONCATENATE("R6C",'Mapa final'!$O$39),"")</f>
        <v/>
      </c>
      <c r="S11" s="52" t="str">
        <f>IF(AND('Mapa final'!$Y$40="Muy Alta",'Mapa final'!$AA$40="Menor"),CONCATENATE("R6C",'Mapa final'!$O$40),"")</f>
        <v/>
      </c>
      <c r="T11" s="52" t="str">
        <f>IF(AND('Mapa final'!$Y$41="Muy Alta",'Mapa final'!$AA$41="Menor"),CONCATENATE("R6C",'Mapa final'!$O$41),"")</f>
        <v/>
      </c>
      <c r="U11" s="53" t="str">
        <f>IF(AND('Mapa final'!$Y$42="Muy Alta",'Mapa final'!$AA$42="Menor"),CONCATENATE("R6C",'Mapa final'!$O$42),"")</f>
        <v/>
      </c>
      <c r="V11" s="51" t="str">
        <f ca="1">IF(AND('Mapa final'!$Y$37="Muy Alta",'Mapa final'!$AA$37="Moderado"),CONCATENATE("R6C",'Mapa final'!$O$37),"")</f>
        <v/>
      </c>
      <c r="W11" s="52" t="str">
        <f>IF(AND('Mapa final'!$Y$38="Muy Alta",'Mapa final'!$AA$38="Moderado"),CONCATENATE("R6C",'Mapa final'!$O$38),"")</f>
        <v/>
      </c>
      <c r="X11" s="52" t="str">
        <f>IF(AND('Mapa final'!$Y$39="Muy Alta",'Mapa final'!$AA$39="Moderado"),CONCATENATE("R6C",'Mapa final'!$O$39),"")</f>
        <v/>
      </c>
      <c r="Y11" s="52" t="str">
        <f>IF(AND('Mapa final'!$Y$40="Muy Alta",'Mapa final'!$AA$40="Moderado"),CONCATENATE("R6C",'Mapa final'!$O$40),"")</f>
        <v/>
      </c>
      <c r="Z11" s="52" t="str">
        <f>IF(AND('Mapa final'!$Y$41="Muy Alta",'Mapa final'!$AA$41="Moderado"),CONCATENATE("R6C",'Mapa final'!$O$41),"")</f>
        <v/>
      </c>
      <c r="AA11" s="53" t="str">
        <f>IF(AND('Mapa final'!$Y$42="Muy Alta",'Mapa final'!$AA$42="Moderado"),CONCATENATE("R6C",'Mapa final'!$O$42),"")</f>
        <v/>
      </c>
      <c r="AB11" s="51" t="str">
        <f ca="1">IF(AND('Mapa final'!$Y$37="Muy Alta",'Mapa final'!$AA$37="Mayor"),CONCATENATE("R6C",'Mapa final'!$O$37),"")</f>
        <v/>
      </c>
      <c r="AC11" s="52" t="str">
        <f>IF(AND('Mapa final'!$Y$38="Muy Alta",'Mapa final'!$AA$38="Mayor"),CONCATENATE("R6C",'Mapa final'!$O$38),"")</f>
        <v/>
      </c>
      <c r="AD11" s="52" t="str">
        <f>IF(AND('Mapa final'!$Y$39="Muy Alta",'Mapa final'!$AA$39="Mayor"),CONCATENATE("R6C",'Mapa final'!$O$39),"")</f>
        <v/>
      </c>
      <c r="AE11" s="52" t="str">
        <f>IF(AND('Mapa final'!$Y$40="Muy Alta",'Mapa final'!$AA$40="Mayor"),CONCATENATE("R6C",'Mapa final'!$O$40),"")</f>
        <v/>
      </c>
      <c r="AF11" s="52" t="str">
        <f>IF(AND('Mapa final'!$Y$41="Muy Alta",'Mapa final'!$AA$41="Mayor"),CONCATENATE("R6C",'Mapa final'!$O$41),"")</f>
        <v/>
      </c>
      <c r="AG11" s="53" t="str">
        <f>IF(AND('Mapa final'!$Y$42="Muy Alta",'Mapa final'!$AA$42="Mayor"),CONCATENATE("R6C",'Mapa final'!$O$42),"")</f>
        <v/>
      </c>
      <c r="AH11" s="54" t="str">
        <f ca="1">IF(AND('Mapa final'!$Y$37="Muy Alta",'Mapa final'!$AA$37="Catastrófico"),CONCATENATE("R6C",'Mapa final'!$O$37),"")</f>
        <v/>
      </c>
      <c r="AI11" s="55" t="str">
        <f>IF(AND('Mapa final'!$Y$38="Muy Alta",'Mapa final'!$AA$38="Catastrófico"),CONCATENATE("R6C",'Mapa final'!$O$38),"")</f>
        <v/>
      </c>
      <c r="AJ11" s="55" t="str">
        <f>IF(AND('Mapa final'!$Y$39="Muy Alta",'Mapa final'!$AA$39="Catastrófico"),CONCATENATE("R6C",'Mapa final'!$O$39),"")</f>
        <v/>
      </c>
      <c r="AK11" s="55" t="str">
        <f>IF(AND('Mapa final'!$Y$40="Muy Alta",'Mapa final'!$AA$40="Catastrófico"),CONCATENATE("R6C",'Mapa final'!$O$40),"")</f>
        <v/>
      </c>
      <c r="AL11" s="55" t="str">
        <f>IF(AND('Mapa final'!$Y$41="Muy Alta",'Mapa final'!$AA$41="Catastrófico"),CONCATENATE("R6C",'Mapa final'!$O$41),"")</f>
        <v/>
      </c>
      <c r="AM11" s="56" t="str">
        <f>IF(AND('Mapa final'!$Y$42="Muy Alta",'Mapa final'!$AA$42="Catastrófico"),CONCATENATE("R6C",'Mapa final'!$O$42),"")</f>
        <v/>
      </c>
      <c r="AN11" s="82"/>
      <c r="AO11" s="507"/>
      <c r="AP11" s="508"/>
      <c r="AQ11" s="508"/>
      <c r="AR11" s="508"/>
      <c r="AS11" s="508"/>
      <c r="AT11" s="509"/>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446"/>
      <c r="C12" s="446"/>
      <c r="D12" s="447"/>
      <c r="E12" s="487"/>
      <c r="F12" s="488"/>
      <c r="G12" s="488"/>
      <c r="H12" s="488"/>
      <c r="I12" s="489"/>
      <c r="J12" s="51" t="str">
        <f ca="1">IF(AND('Mapa final'!$Y$43="Muy Alta",'Mapa final'!$AA$43="Leve"),CONCATENATE("R7C",'Mapa final'!$O$43),"")</f>
        <v/>
      </c>
      <c r="K12" s="52" t="str">
        <f>IF(AND('Mapa final'!$Y$44="Muy Alta",'Mapa final'!$AA$44="Leve"),CONCATENATE("R7C",'Mapa final'!$O$44),"")</f>
        <v/>
      </c>
      <c r="L12" s="52" t="str">
        <f>IF(AND('Mapa final'!$Y$45="Muy Alta",'Mapa final'!$AA$45="Leve"),CONCATENATE("R7C",'Mapa final'!$O$45),"")</f>
        <v/>
      </c>
      <c r="M12" s="52" t="str">
        <f>IF(AND('Mapa final'!$Y$46="Muy Alta",'Mapa final'!$AA$46="Leve"),CONCATENATE("R7C",'Mapa final'!$O$46),"")</f>
        <v/>
      </c>
      <c r="N12" s="52" t="str">
        <f>IF(AND('Mapa final'!$Y$47="Muy Alta",'Mapa final'!$AA$47="Leve"),CONCATENATE("R7C",'Mapa final'!$O$47),"")</f>
        <v/>
      </c>
      <c r="O12" s="53" t="str">
        <f>IF(AND('Mapa final'!$Y$48="Muy Alta",'Mapa final'!$AA$48="Leve"),CONCATENATE("R7C",'Mapa final'!$O$48),"")</f>
        <v/>
      </c>
      <c r="P12" s="51" t="str">
        <f ca="1">IF(AND('Mapa final'!$Y$43="Muy Alta",'Mapa final'!$AA$43="Menor"),CONCATENATE("R7C",'Mapa final'!$O$43),"")</f>
        <v/>
      </c>
      <c r="Q12" s="52" t="str">
        <f>IF(AND('Mapa final'!$Y$44="Muy Alta",'Mapa final'!$AA$44="Menor"),CONCATENATE("R7C",'Mapa final'!$O$44),"")</f>
        <v/>
      </c>
      <c r="R12" s="52" t="str">
        <f>IF(AND('Mapa final'!$Y$45="Muy Alta",'Mapa final'!$AA$45="Menor"),CONCATENATE("R7C",'Mapa final'!$O$45),"")</f>
        <v/>
      </c>
      <c r="S12" s="52" t="str">
        <f>IF(AND('Mapa final'!$Y$46="Muy Alta",'Mapa final'!$AA$46="Menor"),CONCATENATE("R7C",'Mapa final'!$O$46),"")</f>
        <v/>
      </c>
      <c r="T12" s="52" t="str">
        <f>IF(AND('Mapa final'!$Y$47="Muy Alta",'Mapa final'!$AA$47="Menor"),CONCATENATE("R7C",'Mapa final'!$O$47),"")</f>
        <v/>
      </c>
      <c r="U12" s="53" t="str">
        <f>IF(AND('Mapa final'!$Y$48="Muy Alta",'Mapa final'!$AA$48="Menor"),CONCATENATE("R7C",'Mapa final'!$O$48),"")</f>
        <v/>
      </c>
      <c r="V12" s="51" t="str">
        <f ca="1">IF(AND('Mapa final'!$Y$43="Muy Alta",'Mapa final'!$AA$43="Moderado"),CONCATENATE("R7C",'Mapa final'!$O$43),"")</f>
        <v/>
      </c>
      <c r="W12" s="52" t="str">
        <f>IF(AND('Mapa final'!$Y$44="Muy Alta",'Mapa final'!$AA$44="Moderado"),CONCATENATE("R7C",'Mapa final'!$O$44),"")</f>
        <v/>
      </c>
      <c r="X12" s="52" t="str">
        <f>IF(AND('Mapa final'!$Y$45="Muy Alta",'Mapa final'!$AA$45="Moderado"),CONCATENATE("R7C",'Mapa final'!$O$45),"")</f>
        <v/>
      </c>
      <c r="Y12" s="52" t="str">
        <f>IF(AND('Mapa final'!$Y$46="Muy Alta",'Mapa final'!$AA$46="Moderado"),CONCATENATE("R7C",'Mapa final'!$O$46),"")</f>
        <v/>
      </c>
      <c r="Z12" s="52" t="str">
        <f>IF(AND('Mapa final'!$Y$47="Muy Alta",'Mapa final'!$AA$47="Moderado"),CONCATENATE("R7C",'Mapa final'!$O$47),"")</f>
        <v/>
      </c>
      <c r="AA12" s="53" t="str">
        <f>IF(AND('Mapa final'!$Y$48="Muy Alta",'Mapa final'!$AA$48="Moderado"),CONCATENATE("R7C",'Mapa final'!$O$48),"")</f>
        <v/>
      </c>
      <c r="AB12" s="51" t="str">
        <f ca="1">IF(AND('Mapa final'!$Y$43="Muy Alta",'Mapa final'!$AA$43="Mayor"),CONCATENATE("R7C",'Mapa final'!$O$43),"")</f>
        <v/>
      </c>
      <c r="AC12" s="52" t="str">
        <f>IF(AND('Mapa final'!$Y$44="Muy Alta",'Mapa final'!$AA$44="Mayor"),CONCATENATE("R7C",'Mapa final'!$O$44),"")</f>
        <v/>
      </c>
      <c r="AD12" s="52" t="str">
        <f>IF(AND('Mapa final'!$Y$45="Muy Alta",'Mapa final'!$AA$45="Mayor"),CONCATENATE("R7C",'Mapa final'!$O$45),"")</f>
        <v/>
      </c>
      <c r="AE12" s="52" t="str">
        <f>IF(AND('Mapa final'!$Y$46="Muy Alta",'Mapa final'!$AA$46="Mayor"),CONCATENATE("R7C",'Mapa final'!$O$46),"")</f>
        <v/>
      </c>
      <c r="AF12" s="52" t="str">
        <f>IF(AND('Mapa final'!$Y$47="Muy Alta",'Mapa final'!$AA$47="Mayor"),CONCATENATE("R7C",'Mapa final'!$O$47),"")</f>
        <v/>
      </c>
      <c r="AG12" s="53" t="str">
        <f>IF(AND('Mapa final'!$Y$48="Muy Alta",'Mapa final'!$AA$48="Mayor"),CONCATENATE("R7C",'Mapa final'!$O$48),"")</f>
        <v/>
      </c>
      <c r="AH12" s="54" t="str">
        <f ca="1">IF(AND('Mapa final'!$Y$43="Muy Alta",'Mapa final'!$AA$43="Catastrófico"),CONCATENATE("R7C",'Mapa final'!$O$43),"")</f>
        <v/>
      </c>
      <c r="AI12" s="55" t="str">
        <f>IF(AND('Mapa final'!$Y$44="Muy Alta",'Mapa final'!$AA$44="Catastrófico"),CONCATENATE("R7C",'Mapa final'!$O$44),"")</f>
        <v/>
      </c>
      <c r="AJ12" s="55" t="str">
        <f>IF(AND('Mapa final'!$Y$45="Muy Alta",'Mapa final'!$AA$45="Catastrófico"),CONCATENATE("R7C",'Mapa final'!$O$45),"")</f>
        <v/>
      </c>
      <c r="AK12" s="55" t="str">
        <f>IF(AND('Mapa final'!$Y$46="Muy Alta",'Mapa final'!$AA$46="Catastrófico"),CONCATENATE("R7C",'Mapa final'!$O$46),"")</f>
        <v/>
      </c>
      <c r="AL12" s="55" t="str">
        <f>IF(AND('Mapa final'!$Y$47="Muy Alta",'Mapa final'!$AA$47="Catastrófico"),CONCATENATE("R7C",'Mapa final'!$O$47),"")</f>
        <v/>
      </c>
      <c r="AM12" s="56" t="str">
        <f>IF(AND('Mapa final'!$Y$48="Muy Alta",'Mapa final'!$AA$48="Catastrófico"),CONCATENATE("R7C",'Mapa final'!$O$48),"")</f>
        <v/>
      </c>
      <c r="AN12" s="82"/>
      <c r="AO12" s="507"/>
      <c r="AP12" s="508"/>
      <c r="AQ12" s="508"/>
      <c r="AR12" s="508"/>
      <c r="AS12" s="508"/>
      <c r="AT12" s="509"/>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446"/>
      <c r="C13" s="446"/>
      <c r="D13" s="447"/>
      <c r="E13" s="487"/>
      <c r="F13" s="488"/>
      <c r="G13" s="488"/>
      <c r="H13" s="488"/>
      <c r="I13" s="489"/>
      <c r="J13" s="51" t="str">
        <f ca="1">IF(AND('Mapa final'!$Y$49="Muy Alta",'Mapa final'!$AA$49="Leve"),CONCATENATE("R8C",'Mapa final'!$O$49),"")</f>
        <v/>
      </c>
      <c r="K13" s="52" t="str">
        <f>IF(AND('Mapa final'!$Y$50="Muy Alta",'Mapa final'!$AA$50="Leve"),CONCATENATE("R8C",'Mapa final'!$O$50),"")</f>
        <v/>
      </c>
      <c r="L13" s="52" t="str">
        <f>IF(AND('Mapa final'!$Y$51="Muy Alta",'Mapa final'!$AA$51="Leve"),CONCATENATE("R8C",'Mapa final'!$O$51),"")</f>
        <v/>
      </c>
      <c r="M13" s="52" t="str">
        <f ca="1">IF(AND('Mapa final'!$Y$52="Muy Alta",'Mapa final'!$AA$52="Leve"),CONCATENATE("R8C",'Mapa final'!$O$52),"")</f>
        <v/>
      </c>
      <c r="N13" s="52" t="str">
        <f>IF(AND('Mapa final'!$Y$53="Muy Alta",'Mapa final'!$AA$53="Leve"),CONCATENATE("R8C",'Mapa final'!$O$53),"")</f>
        <v/>
      </c>
      <c r="O13" s="53" t="str">
        <f>IF(AND('Mapa final'!$Y$54="Muy Alta",'Mapa final'!$AA$54="Leve"),CONCATENATE("R8C",'Mapa final'!$O$54),"")</f>
        <v/>
      </c>
      <c r="P13" s="51" t="str">
        <f ca="1">IF(AND('Mapa final'!$Y$49="Muy Alta",'Mapa final'!$AA$49="Menor"),CONCATENATE("R8C",'Mapa final'!$O$49),"")</f>
        <v/>
      </c>
      <c r="Q13" s="52" t="str">
        <f>IF(AND('Mapa final'!$Y$50="Muy Alta",'Mapa final'!$AA$50="Menor"),CONCATENATE("R8C",'Mapa final'!$O$50),"")</f>
        <v/>
      </c>
      <c r="R13" s="52" t="str">
        <f>IF(AND('Mapa final'!$Y$51="Muy Alta",'Mapa final'!$AA$51="Menor"),CONCATENATE("R8C",'Mapa final'!$O$51),"")</f>
        <v/>
      </c>
      <c r="S13" s="52" t="str">
        <f ca="1">IF(AND('Mapa final'!$Y$52="Muy Alta",'Mapa final'!$AA$52="Menor"),CONCATENATE("R8C",'Mapa final'!$O$52),"")</f>
        <v/>
      </c>
      <c r="T13" s="52" t="str">
        <f>IF(AND('Mapa final'!$Y$53="Muy Alta",'Mapa final'!$AA$53="Menor"),CONCATENATE("R8C",'Mapa final'!$O$53),"")</f>
        <v/>
      </c>
      <c r="U13" s="53" t="str">
        <f>IF(AND('Mapa final'!$Y$54="Muy Alta",'Mapa final'!$AA$54="Menor"),CONCATENATE("R8C",'Mapa final'!$O$54),"")</f>
        <v/>
      </c>
      <c r="V13" s="51" t="str">
        <f ca="1">IF(AND('Mapa final'!$Y$49="Muy Alta",'Mapa final'!$AA$49="Moderado"),CONCATENATE("R8C",'Mapa final'!$O$49),"")</f>
        <v/>
      </c>
      <c r="W13" s="52" t="str">
        <f>IF(AND('Mapa final'!$Y$50="Muy Alta",'Mapa final'!$AA$50="Moderado"),CONCATENATE("R8C",'Mapa final'!$O$50),"")</f>
        <v/>
      </c>
      <c r="X13" s="52" t="str">
        <f>IF(AND('Mapa final'!$Y$51="Muy Alta",'Mapa final'!$AA$51="Moderado"),CONCATENATE("R8C",'Mapa final'!$O$51),"")</f>
        <v/>
      </c>
      <c r="Y13" s="52" t="str">
        <f ca="1">IF(AND('Mapa final'!$Y$52="Muy Alta",'Mapa final'!$AA$52="Moderado"),CONCATENATE("R8C",'Mapa final'!$O$52),"")</f>
        <v/>
      </c>
      <c r="Z13" s="52" t="str">
        <f>IF(AND('Mapa final'!$Y$53="Muy Alta",'Mapa final'!$AA$53="Moderado"),CONCATENATE("R8C",'Mapa final'!$O$53),"")</f>
        <v/>
      </c>
      <c r="AA13" s="53" t="str">
        <f>IF(AND('Mapa final'!$Y$54="Muy Alta",'Mapa final'!$AA$54="Moderado"),CONCATENATE("R8C",'Mapa final'!$O$54),"")</f>
        <v/>
      </c>
      <c r="AB13" s="51" t="str">
        <f ca="1">IF(AND('Mapa final'!$Y$49="Muy Alta",'Mapa final'!$AA$49="Mayor"),CONCATENATE("R8C",'Mapa final'!$O$49),"")</f>
        <v/>
      </c>
      <c r="AC13" s="52" t="str">
        <f>IF(AND('Mapa final'!$Y$50="Muy Alta",'Mapa final'!$AA$50="Mayor"),CONCATENATE("R8C",'Mapa final'!$O$50),"")</f>
        <v/>
      </c>
      <c r="AD13" s="52" t="str">
        <f>IF(AND('Mapa final'!$Y$51="Muy Alta",'Mapa final'!$AA$51="Mayor"),CONCATENATE("R8C",'Mapa final'!$O$51),"")</f>
        <v/>
      </c>
      <c r="AE13" s="52" t="str">
        <f ca="1">IF(AND('Mapa final'!$Y$52="Muy Alta",'Mapa final'!$AA$52="Mayor"),CONCATENATE("R8C",'Mapa final'!$O$52),"")</f>
        <v/>
      </c>
      <c r="AF13" s="52" t="str">
        <f>IF(AND('Mapa final'!$Y$53="Muy Alta",'Mapa final'!$AA$53="Mayor"),CONCATENATE("R8C",'Mapa final'!$O$53),"")</f>
        <v/>
      </c>
      <c r="AG13" s="53" t="str">
        <f>IF(AND('Mapa final'!$Y$54="Muy Alta",'Mapa final'!$AA$54="Mayor"),CONCATENATE("R8C",'Mapa final'!$O$54),"")</f>
        <v/>
      </c>
      <c r="AH13" s="54" t="str">
        <f ca="1">IF(AND('Mapa final'!$Y$49="Muy Alta",'Mapa final'!$AA$49="Catastrófico"),CONCATENATE("R8C",'Mapa final'!$O$49),"")</f>
        <v/>
      </c>
      <c r="AI13" s="55" t="str">
        <f>IF(AND('Mapa final'!$Y$50="Muy Alta",'Mapa final'!$AA$50="Catastrófico"),CONCATENATE("R8C",'Mapa final'!$O$50),"")</f>
        <v/>
      </c>
      <c r="AJ13" s="55" t="str">
        <f>IF(AND('Mapa final'!$Y$51="Muy Alta",'Mapa final'!$AA$51="Catastrófico"),CONCATENATE("R8C",'Mapa final'!$O$51),"")</f>
        <v/>
      </c>
      <c r="AK13" s="55" t="str">
        <f ca="1">IF(AND('Mapa final'!$Y$52="Muy Alta",'Mapa final'!$AA$52="Catastrófico"),CONCATENATE("R8C",'Mapa final'!$O$52),"")</f>
        <v/>
      </c>
      <c r="AL13" s="55" t="str">
        <f>IF(AND('Mapa final'!$Y$53="Muy Alta",'Mapa final'!$AA$53="Catastrófico"),CONCATENATE("R8C",'Mapa final'!$O$53),"")</f>
        <v/>
      </c>
      <c r="AM13" s="56" t="str">
        <f>IF(AND('Mapa final'!$Y$54="Muy Alta",'Mapa final'!$AA$54="Catastrófico"),CONCATENATE("R8C",'Mapa final'!$O$54),"")</f>
        <v/>
      </c>
      <c r="AN13" s="82"/>
      <c r="AO13" s="507"/>
      <c r="AP13" s="508"/>
      <c r="AQ13" s="508"/>
      <c r="AR13" s="508"/>
      <c r="AS13" s="508"/>
      <c r="AT13" s="509"/>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446"/>
      <c r="C14" s="446"/>
      <c r="D14" s="447"/>
      <c r="E14" s="487"/>
      <c r="F14" s="488"/>
      <c r="G14" s="488"/>
      <c r="H14" s="488"/>
      <c r="I14" s="489"/>
      <c r="J14" s="51" t="str">
        <f>IF(AND('Mapa final'!$Y$55="Muy Alta",'Mapa final'!$AA$55="Leve"),CONCATENATE("R9C",'Mapa final'!$O$55),"")</f>
        <v/>
      </c>
      <c r="K14" s="52" t="str">
        <f>IF(AND('Mapa final'!$Y$56="Muy Alta",'Mapa final'!$AA$56="Leve"),CONCATENATE("R9C",'Mapa final'!$O$56),"")</f>
        <v/>
      </c>
      <c r="L14" s="52" t="str">
        <f>IF(AND('Mapa final'!$Y$57="Muy Alta",'Mapa final'!$AA$57="Leve"),CONCATENATE("R9C",'Mapa final'!$O$57),"")</f>
        <v/>
      </c>
      <c r="M14" s="52" t="str">
        <f>IF(AND('Mapa final'!$Y$58="Muy Alta",'Mapa final'!$AA$58="Leve"),CONCATENATE("R9C",'Mapa final'!$O$58),"")</f>
        <v/>
      </c>
      <c r="N14" s="52" t="str">
        <f>IF(AND('Mapa final'!$Y$59="Muy Alta",'Mapa final'!$AA$59="Leve"),CONCATENATE("R9C",'Mapa final'!$O$59),"")</f>
        <v/>
      </c>
      <c r="O14" s="53" t="str">
        <f>IF(AND('Mapa final'!$Y$60="Muy Alta",'Mapa final'!$AA$60="Leve"),CONCATENATE("R9C",'Mapa final'!$O$60),"")</f>
        <v/>
      </c>
      <c r="P14" s="51" t="str">
        <f>IF(AND('Mapa final'!$Y$55="Muy Alta",'Mapa final'!$AA$55="Menor"),CONCATENATE("R9C",'Mapa final'!$O$55),"")</f>
        <v/>
      </c>
      <c r="Q14" s="52" t="str">
        <f>IF(AND('Mapa final'!$Y$56="Muy Alta",'Mapa final'!$AA$56="Menor"),CONCATENATE("R9C",'Mapa final'!$O$56),"")</f>
        <v/>
      </c>
      <c r="R14" s="52" t="str">
        <f>IF(AND('Mapa final'!$Y$57="Muy Alta",'Mapa final'!$AA$57="Menor"),CONCATENATE("R9C",'Mapa final'!$O$57),"")</f>
        <v/>
      </c>
      <c r="S14" s="52" t="str">
        <f>IF(AND('Mapa final'!$Y$58="Muy Alta",'Mapa final'!$AA$58="Menor"),CONCATENATE("R9C",'Mapa final'!$O$58),"")</f>
        <v/>
      </c>
      <c r="T14" s="52" t="str">
        <f>IF(AND('Mapa final'!$Y$59="Muy Alta",'Mapa final'!$AA$59="Menor"),CONCATENATE("R9C",'Mapa final'!$O$59),"")</f>
        <v/>
      </c>
      <c r="U14" s="53" t="str">
        <f>IF(AND('Mapa final'!$Y$60="Muy Alta",'Mapa final'!$AA$60="Menor"),CONCATENATE("R9C",'Mapa final'!$O$60),"")</f>
        <v/>
      </c>
      <c r="V14" s="51" t="str">
        <f>IF(AND('Mapa final'!$Y$55="Muy Alta",'Mapa final'!$AA$55="Moderado"),CONCATENATE("R9C",'Mapa final'!$O$55),"")</f>
        <v/>
      </c>
      <c r="W14" s="52" t="str">
        <f>IF(AND('Mapa final'!$Y$56="Muy Alta",'Mapa final'!$AA$56="Moderado"),CONCATENATE("R9C",'Mapa final'!$O$56),"")</f>
        <v/>
      </c>
      <c r="X14" s="52" t="str">
        <f>IF(AND('Mapa final'!$Y$57="Muy Alta",'Mapa final'!$AA$57="Moderado"),CONCATENATE("R9C",'Mapa final'!$O$57),"")</f>
        <v/>
      </c>
      <c r="Y14" s="52" t="str">
        <f>IF(AND('Mapa final'!$Y$58="Muy Alta",'Mapa final'!$AA$58="Moderado"),CONCATENATE("R9C",'Mapa final'!$O$58),"")</f>
        <v/>
      </c>
      <c r="Z14" s="52" t="str">
        <f>IF(AND('Mapa final'!$Y$59="Muy Alta",'Mapa final'!$AA$59="Moderado"),CONCATENATE("R9C",'Mapa final'!$O$59),"")</f>
        <v/>
      </c>
      <c r="AA14" s="53" t="str">
        <f>IF(AND('Mapa final'!$Y$60="Muy Alta",'Mapa final'!$AA$60="Moderado"),CONCATENATE("R9C",'Mapa final'!$O$60),"")</f>
        <v/>
      </c>
      <c r="AB14" s="51" t="str">
        <f>IF(AND('Mapa final'!$Y$55="Muy Alta",'Mapa final'!$AA$55="Mayor"),CONCATENATE("R9C",'Mapa final'!$O$55),"")</f>
        <v/>
      </c>
      <c r="AC14" s="52" t="str">
        <f>IF(AND('Mapa final'!$Y$56="Muy Alta",'Mapa final'!$AA$56="Mayor"),CONCATENATE("R9C",'Mapa final'!$O$56),"")</f>
        <v/>
      </c>
      <c r="AD14" s="52" t="str">
        <f>IF(AND('Mapa final'!$Y$57="Muy Alta",'Mapa final'!$AA$57="Mayor"),CONCATENATE("R9C",'Mapa final'!$O$57),"")</f>
        <v/>
      </c>
      <c r="AE14" s="52" t="str">
        <f>IF(AND('Mapa final'!$Y$58="Muy Alta",'Mapa final'!$AA$58="Mayor"),CONCATENATE("R9C",'Mapa final'!$O$58),"")</f>
        <v/>
      </c>
      <c r="AF14" s="52" t="str">
        <f>IF(AND('Mapa final'!$Y$59="Muy Alta",'Mapa final'!$AA$59="Mayor"),CONCATENATE("R9C",'Mapa final'!$O$59),"")</f>
        <v/>
      </c>
      <c r="AG14" s="53" t="str">
        <f>IF(AND('Mapa final'!$Y$60="Muy Alta",'Mapa final'!$AA$60="Mayor"),CONCATENATE("R9C",'Mapa final'!$O$60),"")</f>
        <v/>
      </c>
      <c r="AH14" s="54" t="str">
        <f>IF(AND('Mapa final'!$Y$55="Muy Alta",'Mapa final'!$AA$55="Catastrófico"),CONCATENATE("R9C",'Mapa final'!$O$55),"")</f>
        <v/>
      </c>
      <c r="AI14" s="55" t="str">
        <f>IF(AND('Mapa final'!$Y$56="Muy Alta",'Mapa final'!$AA$56="Catastrófico"),CONCATENATE("R9C",'Mapa final'!$O$56),"")</f>
        <v/>
      </c>
      <c r="AJ14" s="55" t="str">
        <f>IF(AND('Mapa final'!$Y$57="Muy Alta",'Mapa final'!$AA$57="Catastrófico"),CONCATENATE("R9C",'Mapa final'!$O$57),"")</f>
        <v/>
      </c>
      <c r="AK14" s="55" t="str">
        <f>IF(AND('Mapa final'!$Y$58="Muy Alta",'Mapa final'!$AA$58="Catastrófico"),CONCATENATE("R9C",'Mapa final'!$O$58),"")</f>
        <v/>
      </c>
      <c r="AL14" s="55" t="str">
        <f>IF(AND('Mapa final'!$Y$59="Muy Alta",'Mapa final'!$AA$59="Catastrófico"),CONCATENATE("R9C",'Mapa final'!$O$59),"")</f>
        <v/>
      </c>
      <c r="AM14" s="56" t="str">
        <f>IF(AND('Mapa final'!$Y$60="Muy Alta",'Mapa final'!$AA$60="Catastrófico"),CONCATENATE("R9C",'Mapa final'!$O$60),"")</f>
        <v/>
      </c>
      <c r="AN14" s="82"/>
      <c r="AO14" s="507"/>
      <c r="AP14" s="508"/>
      <c r="AQ14" s="508"/>
      <c r="AR14" s="508"/>
      <c r="AS14" s="508"/>
      <c r="AT14" s="509"/>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446"/>
      <c r="C15" s="446"/>
      <c r="D15" s="447"/>
      <c r="E15" s="490"/>
      <c r="F15" s="491"/>
      <c r="G15" s="491"/>
      <c r="H15" s="491"/>
      <c r="I15" s="492"/>
      <c r="J15" s="57" t="str">
        <f>IF(AND('Mapa final'!$Y$61="Muy Alta",'Mapa final'!$AA$61="Leve"),CONCATENATE("R10C",'Mapa final'!$O$61),"")</f>
        <v/>
      </c>
      <c r="K15" s="58" t="str">
        <f>IF(AND('Mapa final'!$Y$62="Muy Alta",'Mapa final'!$AA$62="Leve"),CONCATENATE("R10C",'Mapa final'!$O$62),"")</f>
        <v/>
      </c>
      <c r="L15" s="58" t="str">
        <f>IF(AND('Mapa final'!$Y$63="Muy Alta",'Mapa final'!$AA$63="Leve"),CONCATENATE("R10C",'Mapa final'!$O$63),"")</f>
        <v/>
      </c>
      <c r="M15" s="58" t="str">
        <f>IF(AND('Mapa final'!$Y$64="Muy Alta",'Mapa final'!$AA$64="Leve"),CONCATENATE("R10C",'Mapa final'!$O$64),"")</f>
        <v/>
      </c>
      <c r="N15" s="58" t="str">
        <f>IF(AND('Mapa final'!$Y$65="Muy Alta",'Mapa final'!$AA$65="Leve"),CONCATENATE("R10C",'Mapa final'!$O$65),"")</f>
        <v/>
      </c>
      <c r="O15" s="59" t="str">
        <f>IF(AND('Mapa final'!$Y$66="Muy Alta",'Mapa final'!$AA$66="Leve"),CONCATENATE("R10C",'Mapa final'!$O$66),"")</f>
        <v/>
      </c>
      <c r="P15" s="51" t="str">
        <f>IF(AND('Mapa final'!$Y$61="Muy Alta",'Mapa final'!$AA$61="Menor"),CONCATENATE("R10C",'Mapa final'!$O$61),"")</f>
        <v/>
      </c>
      <c r="Q15" s="52" t="str">
        <f>IF(AND('Mapa final'!$Y$62="Muy Alta",'Mapa final'!$AA$62="Menor"),CONCATENATE("R10C",'Mapa final'!$O$62),"")</f>
        <v/>
      </c>
      <c r="R15" s="52" t="str">
        <f>IF(AND('Mapa final'!$Y$63="Muy Alta",'Mapa final'!$AA$63="Menor"),CONCATENATE("R10C",'Mapa final'!$O$63),"")</f>
        <v/>
      </c>
      <c r="S15" s="52" t="str">
        <f>IF(AND('Mapa final'!$Y$64="Muy Alta",'Mapa final'!$AA$64="Menor"),CONCATENATE("R10C",'Mapa final'!$O$64),"")</f>
        <v/>
      </c>
      <c r="T15" s="52" t="str">
        <f>IF(AND('Mapa final'!$Y$65="Muy Alta",'Mapa final'!$AA$65="Menor"),CONCATENATE("R10C",'Mapa final'!$O$65),"")</f>
        <v/>
      </c>
      <c r="U15" s="53" t="str">
        <f>IF(AND('Mapa final'!$Y$66="Muy Alta",'Mapa final'!$AA$66="Menor"),CONCATENATE("R10C",'Mapa final'!$O$66),"")</f>
        <v/>
      </c>
      <c r="V15" s="57" t="str">
        <f>IF(AND('Mapa final'!$Y$61="Muy Alta",'Mapa final'!$AA$61="Moderado"),CONCATENATE("R10C",'Mapa final'!$O$61),"")</f>
        <v/>
      </c>
      <c r="W15" s="58" t="str">
        <f>IF(AND('Mapa final'!$Y$62="Muy Alta",'Mapa final'!$AA$62="Moderado"),CONCATENATE("R10C",'Mapa final'!$O$62),"")</f>
        <v/>
      </c>
      <c r="X15" s="58" t="str">
        <f>IF(AND('Mapa final'!$Y$63="Muy Alta",'Mapa final'!$AA$63="Moderado"),CONCATENATE("R10C",'Mapa final'!$O$63),"")</f>
        <v/>
      </c>
      <c r="Y15" s="58" t="str">
        <f>IF(AND('Mapa final'!$Y$64="Muy Alta",'Mapa final'!$AA$64="Moderado"),CONCATENATE("R10C",'Mapa final'!$O$64),"")</f>
        <v/>
      </c>
      <c r="Z15" s="58" t="str">
        <f>IF(AND('Mapa final'!$Y$65="Muy Alta",'Mapa final'!$AA$65="Moderado"),CONCATENATE("R10C",'Mapa final'!$O$65),"")</f>
        <v/>
      </c>
      <c r="AA15" s="59" t="str">
        <f>IF(AND('Mapa final'!$Y$66="Muy Alta",'Mapa final'!$AA$66="Moderado"),CONCATENATE("R10C",'Mapa final'!$O$66),"")</f>
        <v/>
      </c>
      <c r="AB15" s="51" t="str">
        <f>IF(AND('Mapa final'!$Y$61="Muy Alta",'Mapa final'!$AA$61="Mayor"),CONCATENATE("R10C",'Mapa final'!$O$61),"")</f>
        <v/>
      </c>
      <c r="AC15" s="52" t="str">
        <f>IF(AND('Mapa final'!$Y$62="Muy Alta",'Mapa final'!$AA$62="Mayor"),CONCATENATE("R10C",'Mapa final'!$O$62),"")</f>
        <v/>
      </c>
      <c r="AD15" s="52" t="str">
        <f>IF(AND('Mapa final'!$Y$63="Muy Alta",'Mapa final'!$AA$63="Mayor"),CONCATENATE("R10C",'Mapa final'!$O$63),"")</f>
        <v/>
      </c>
      <c r="AE15" s="52" t="str">
        <f>IF(AND('Mapa final'!$Y$64="Muy Alta",'Mapa final'!$AA$64="Mayor"),CONCATENATE("R10C",'Mapa final'!$O$64),"")</f>
        <v/>
      </c>
      <c r="AF15" s="52" t="str">
        <f>IF(AND('Mapa final'!$Y$65="Muy Alta",'Mapa final'!$AA$65="Mayor"),CONCATENATE("R10C",'Mapa final'!$O$65),"")</f>
        <v/>
      </c>
      <c r="AG15" s="53" t="str">
        <f>IF(AND('Mapa final'!$Y$66="Muy Alta",'Mapa final'!$AA$66="Mayor"),CONCATENATE("R10C",'Mapa final'!$O$66),"")</f>
        <v/>
      </c>
      <c r="AH15" s="60" t="str">
        <f>IF(AND('Mapa final'!$Y$61="Muy Alta",'Mapa final'!$AA$61="Catastrófico"),CONCATENATE("R10C",'Mapa final'!$O$61),"")</f>
        <v/>
      </c>
      <c r="AI15" s="61" t="str">
        <f>IF(AND('Mapa final'!$Y$62="Muy Alta",'Mapa final'!$AA$62="Catastrófico"),CONCATENATE("R10C",'Mapa final'!$O$62),"")</f>
        <v/>
      </c>
      <c r="AJ15" s="61" t="str">
        <f>IF(AND('Mapa final'!$Y$63="Muy Alta",'Mapa final'!$AA$63="Catastrófico"),CONCATENATE("R10C",'Mapa final'!$O$63),"")</f>
        <v/>
      </c>
      <c r="AK15" s="61" t="str">
        <f>IF(AND('Mapa final'!$Y$64="Muy Alta",'Mapa final'!$AA$64="Catastrófico"),CONCATENATE("R10C",'Mapa final'!$O$64),"")</f>
        <v/>
      </c>
      <c r="AL15" s="61" t="str">
        <f>IF(AND('Mapa final'!$Y$65="Muy Alta",'Mapa final'!$AA$65="Catastrófico"),CONCATENATE("R10C",'Mapa final'!$O$65),"")</f>
        <v/>
      </c>
      <c r="AM15" s="62" t="str">
        <f>IF(AND('Mapa final'!$Y$66="Muy Alta",'Mapa final'!$AA$66="Catastrófico"),CONCATENATE("R10C",'Mapa final'!$O$66),"")</f>
        <v/>
      </c>
      <c r="AN15" s="82"/>
      <c r="AO15" s="510"/>
      <c r="AP15" s="511"/>
      <c r="AQ15" s="511"/>
      <c r="AR15" s="511"/>
      <c r="AS15" s="511"/>
      <c r="AT15" s="51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446"/>
      <c r="C16" s="446"/>
      <c r="D16" s="447"/>
      <c r="E16" s="484" t="s">
        <v>114</v>
      </c>
      <c r="F16" s="485"/>
      <c r="G16" s="485"/>
      <c r="H16" s="485"/>
      <c r="I16" s="485"/>
      <c r="J16" s="63" t="str">
        <f ca="1">IF(AND('Mapa final'!$Y$10="Alta",'Mapa final'!$AA$10="Leve"),CONCATENATE("R1C",'Mapa final'!$O$10),"")</f>
        <v/>
      </c>
      <c r="K16" s="64" t="str">
        <f>IF(AND('Mapa final'!$Y$11="Alta",'Mapa final'!$AA$11="Leve"),CONCATENATE("R1C",'Mapa final'!$O$11),"")</f>
        <v/>
      </c>
      <c r="L16" s="64" t="str">
        <f>IF(AND('Mapa final'!$Y$12="Alta",'Mapa final'!$AA$12="Leve"),CONCATENATE("R1C",'Mapa final'!$O$12),"")</f>
        <v/>
      </c>
      <c r="M16" s="64" t="str">
        <f>IF(AND('Mapa final'!$Y$13="Alta",'Mapa final'!$AA$13="Leve"),CONCATENATE("R1C",'Mapa final'!$O$13),"")</f>
        <v/>
      </c>
      <c r="N16" s="64" t="str">
        <f>IF(AND('Mapa final'!$Y$14="Alta",'Mapa final'!$AA$14="Leve"),CONCATENATE("R1C",'Mapa final'!$O$14),"")</f>
        <v/>
      </c>
      <c r="O16" s="65" t="str">
        <f>IF(AND('Mapa final'!$Y$15="Alta",'Mapa final'!$AA$15="Leve"),CONCATENATE("R1C",'Mapa final'!$O$15),"")</f>
        <v/>
      </c>
      <c r="P16" s="63" t="str">
        <f ca="1">IF(AND('Mapa final'!$Y$10="Alta",'Mapa final'!$AA$10="Menor"),CONCATENATE("R1C",'Mapa final'!$O$10),"")</f>
        <v/>
      </c>
      <c r="Q16" s="64" t="str">
        <f>IF(AND('Mapa final'!$Y$11="Alta",'Mapa final'!$AA$11="Menor"),CONCATENATE("R1C",'Mapa final'!$O$11),"")</f>
        <v/>
      </c>
      <c r="R16" s="64" t="str">
        <f>IF(AND('Mapa final'!$Y$12="Alta",'Mapa final'!$AA$12="Menor"),CONCATENATE("R1C",'Mapa final'!$O$12),"")</f>
        <v/>
      </c>
      <c r="S16" s="64" t="str">
        <f>IF(AND('Mapa final'!$Y$13="Alta",'Mapa final'!$AA$13="Menor"),CONCATENATE("R1C",'Mapa final'!$O$13),"")</f>
        <v/>
      </c>
      <c r="T16" s="64" t="str">
        <f>IF(AND('Mapa final'!$Y$14="Alta",'Mapa final'!$AA$14="Menor"),CONCATENATE("R1C",'Mapa final'!$O$14),"")</f>
        <v/>
      </c>
      <c r="U16" s="65" t="str">
        <f>IF(AND('Mapa final'!$Y$15="Alta",'Mapa final'!$AA$15="Menor"),CONCATENATE("R1C",'Mapa final'!$O$15),"")</f>
        <v/>
      </c>
      <c r="V16" s="45" t="str">
        <f ca="1">IF(AND('Mapa final'!$Y$10="Alta",'Mapa final'!$AA$10="Moderado"),CONCATENATE("R1C",'Mapa final'!$O$10),"")</f>
        <v/>
      </c>
      <c r="W16" s="46" t="str">
        <f>IF(AND('Mapa final'!$Y$11="Alta",'Mapa final'!$AA$11="Moderado"),CONCATENATE("R1C",'Mapa final'!$O$11),"")</f>
        <v/>
      </c>
      <c r="X16" s="46" t="str">
        <f>IF(AND('Mapa final'!$Y$12="Alta",'Mapa final'!$AA$12="Moderado"),CONCATENATE("R1C",'Mapa final'!$O$12),"")</f>
        <v/>
      </c>
      <c r="Y16" s="46" t="str">
        <f>IF(AND('Mapa final'!$Y$13="Alta",'Mapa final'!$AA$13="Moderado"),CONCATENATE("R1C",'Mapa final'!$O$13),"")</f>
        <v/>
      </c>
      <c r="Z16" s="46" t="str">
        <f>IF(AND('Mapa final'!$Y$14="Alta",'Mapa final'!$AA$14="Moderado"),CONCATENATE("R1C",'Mapa final'!$O$14),"")</f>
        <v/>
      </c>
      <c r="AA16" s="47" t="str">
        <f>IF(AND('Mapa final'!$Y$15="Alta",'Mapa final'!$AA$15="Moderado"),CONCATENATE("R1C",'Mapa final'!$O$15),"")</f>
        <v/>
      </c>
      <c r="AB16" s="45" t="str">
        <f ca="1">IF(AND('Mapa final'!$Y$10="Alta",'Mapa final'!$AA$10="Mayor"),CONCATENATE("R1C",'Mapa final'!$O$10),"")</f>
        <v/>
      </c>
      <c r="AC16" s="46" t="str">
        <f>IF(AND('Mapa final'!$Y$11="Alta",'Mapa final'!$AA$11="Mayor"),CONCATENATE("R1C",'Mapa final'!$O$11),"")</f>
        <v/>
      </c>
      <c r="AD16" s="46" t="str">
        <f>IF(AND('Mapa final'!$Y$12="Alta",'Mapa final'!$AA$12="Mayor"),CONCATENATE("R1C",'Mapa final'!$O$12),"")</f>
        <v/>
      </c>
      <c r="AE16" s="46" t="str">
        <f>IF(AND('Mapa final'!$Y$13="Alta",'Mapa final'!$AA$13="Mayor"),CONCATENATE("R1C",'Mapa final'!$O$13),"")</f>
        <v/>
      </c>
      <c r="AF16" s="46" t="str">
        <f>IF(AND('Mapa final'!$Y$14="Alta",'Mapa final'!$AA$14="Mayor"),CONCATENATE("R1C",'Mapa final'!$O$14),"")</f>
        <v/>
      </c>
      <c r="AG16" s="47" t="str">
        <f>IF(AND('Mapa final'!$Y$15="Alta",'Mapa final'!$AA$15="Mayor"),CONCATENATE("R1C",'Mapa final'!$O$15),"")</f>
        <v/>
      </c>
      <c r="AH16" s="48" t="str">
        <f ca="1">IF(AND('Mapa final'!$Y$10="Alta",'Mapa final'!$AA$10="Catastrófico"),CONCATENATE("R1C",'Mapa final'!$O$10),"")</f>
        <v/>
      </c>
      <c r="AI16" s="49" t="str">
        <f>IF(AND('Mapa final'!$Y$11="Alta",'Mapa final'!$AA$11="Catastrófico"),CONCATENATE("R1C",'Mapa final'!$O$11),"")</f>
        <v/>
      </c>
      <c r="AJ16" s="49" t="str">
        <f>IF(AND('Mapa final'!$Y$12="Alta",'Mapa final'!$AA$12="Catastrófico"),CONCATENATE("R1C",'Mapa final'!$O$12),"")</f>
        <v/>
      </c>
      <c r="AK16" s="49" t="str">
        <f>IF(AND('Mapa final'!$Y$13="Alta",'Mapa final'!$AA$13="Catastrófico"),CONCATENATE("R1C",'Mapa final'!$O$13),"")</f>
        <v/>
      </c>
      <c r="AL16" s="49" t="str">
        <f>IF(AND('Mapa final'!$Y$14="Alta",'Mapa final'!$AA$14="Catastrófico"),CONCATENATE("R1C",'Mapa final'!$O$14),"")</f>
        <v/>
      </c>
      <c r="AM16" s="50" t="str">
        <f>IF(AND('Mapa final'!$Y$15="Alta",'Mapa final'!$AA$15="Catastrófico"),CONCATENATE("R1C",'Mapa final'!$O$15),"")</f>
        <v/>
      </c>
      <c r="AN16" s="82"/>
      <c r="AO16" s="494" t="s">
        <v>79</v>
      </c>
      <c r="AP16" s="495"/>
      <c r="AQ16" s="495"/>
      <c r="AR16" s="495"/>
      <c r="AS16" s="495"/>
      <c r="AT16" s="496"/>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446"/>
      <c r="C17" s="446"/>
      <c r="D17" s="447"/>
      <c r="E17" s="503"/>
      <c r="F17" s="488"/>
      <c r="G17" s="488"/>
      <c r="H17" s="488"/>
      <c r="I17" s="488"/>
      <c r="J17" s="66" t="str">
        <f ca="1">IF(AND('Mapa final'!$Y$16="Alta",'Mapa final'!$AA$16="Leve"),CONCATENATE("R2C",'Mapa final'!$O$16),"")</f>
        <v/>
      </c>
      <c r="K17" s="67" t="str">
        <f>IF(AND('Mapa final'!$Y$17="Alta",'Mapa final'!$AA$17="Leve"),CONCATENATE("R2C",'Mapa final'!$O$17),"")</f>
        <v/>
      </c>
      <c r="L17" s="67" t="str">
        <f>IF(AND('Mapa final'!$Y$18="Alta",'Mapa final'!$AA$18="Leve"),CONCATENATE("R2C",'Mapa final'!$O$18),"")</f>
        <v/>
      </c>
      <c r="M17" s="67" t="str">
        <f>IF(AND('Mapa final'!$Y$19="Alta",'Mapa final'!$AA$19="Leve"),CONCATENATE("R2C",'Mapa final'!$O$19),"")</f>
        <v/>
      </c>
      <c r="N17" s="67" t="str">
        <f>IF(AND('Mapa final'!$Y$20="Alta",'Mapa final'!$AA$20="Leve"),CONCATENATE("R2C",'Mapa final'!$O$20),"")</f>
        <v/>
      </c>
      <c r="O17" s="68" t="str">
        <f>IF(AND('Mapa final'!$Y$21="Alta",'Mapa final'!$AA$21="Leve"),CONCATENATE("R2C",'Mapa final'!$O$21),"")</f>
        <v/>
      </c>
      <c r="P17" s="66" t="str">
        <f ca="1">IF(AND('Mapa final'!$Y$16="Alta",'Mapa final'!$AA$16="Menor"),CONCATENATE("R2C",'Mapa final'!$O$16),"")</f>
        <v/>
      </c>
      <c r="Q17" s="67" t="str">
        <f>IF(AND('Mapa final'!$Y$17="Alta",'Mapa final'!$AA$17="Menor"),CONCATENATE("R2C",'Mapa final'!$O$17),"")</f>
        <v/>
      </c>
      <c r="R17" s="67" t="str">
        <f>IF(AND('Mapa final'!$Y$18="Alta",'Mapa final'!$AA$18="Menor"),CONCATENATE("R2C",'Mapa final'!$O$18),"")</f>
        <v/>
      </c>
      <c r="S17" s="67" t="str">
        <f>IF(AND('Mapa final'!$Y$19="Alta",'Mapa final'!$AA$19="Menor"),CONCATENATE("R2C",'Mapa final'!$O$19),"")</f>
        <v/>
      </c>
      <c r="T17" s="67" t="str">
        <f>IF(AND('Mapa final'!$Y$20="Alta",'Mapa final'!$AA$20="Menor"),CONCATENATE("R2C",'Mapa final'!$O$20),"")</f>
        <v/>
      </c>
      <c r="U17" s="68" t="str">
        <f>IF(AND('Mapa final'!$Y$21="Alta",'Mapa final'!$AA$21="Menor"),CONCATENATE("R2C",'Mapa final'!$O$21),"")</f>
        <v/>
      </c>
      <c r="V17" s="51" t="str">
        <f ca="1">IF(AND('Mapa final'!$Y$16="Alta",'Mapa final'!$AA$16="Moderado"),CONCATENATE("R2C",'Mapa final'!$O$16),"")</f>
        <v/>
      </c>
      <c r="W17" s="52" t="str">
        <f>IF(AND('Mapa final'!$Y$17="Alta",'Mapa final'!$AA$17="Moderado"),CONCATENATE("R2C",'Mapa final'!$O$17),"")</f>
        <v/>
      </c>
      <c r="X17" s="52" t="str">
        <f>IF(AND('Mapa final'!$Y$18="Alta",'Mapa final'!$AA$18="Moderado"),CONCATENATE("R2C",'Mapa final'!$O$18),"")</f>
        <v/>
      </c>
      <c r="Y17" s="52" t="str">
        <f>IF(AND('Mapa final'!$Y$19="Alta",'Mapa final'!$AA$19="Moderado"),CONCATENATE("R2C",'Mapa final'!$O$19),"")</f>
        <v/>
      </c>
      <c r="Z17" s="52" t="str">
        <f>IF(AND('Mapa final'!$Y$20="Alta",'Mapa final'!$AA$20="Moderado"),CONCATENATE("R2C",'Mapa final'!$O$20),"")</f>
        <v/>
      </c>
      <c r="AA17" s="53" t="str">
        <f>IF(AND('Mapa final'!$Y$21="Alta",'Mapa final'!$AA$21="Moderado"),CONCATENATE("R2C",'Mapa final'!$O$21),"")</f>
        <v/>
      </c>
      <c r="AB17" s="51" t="str">
        <f ca="1">IF(AND('Mapa final'!$Y$16="Alta",'Mapa final'!$AA$16="Mayor"),CONCATENATE("R2C",'Mapa final'!$O$16),"")</f>
        <v/>
      </c>
      <c r="AC17" s="52" t="str">
        <f>IF(AND('Mapa final'!$Y$17="Alta",'Mapa final'!$AA$17="Mayor"),CONCATENATE("R2C",'Mapa final'!$O$17),"")</f>
        <v/>
      </c>
      <c r="AD17" s="52" t="str">
        <f>IF(AND('Mapa final'!$Y$18="Alta",'Mapa final'!$AA$18="Mayor"),CONCATENATE("R2C",'Mapa final'!$O$18),"")</f>
        <v/>
      </c>
      <c r="AE17" s="52" t="str">
        <f>IF(AND('Mapa final'!$Y$19="Alta",'Mapa final'!$AA$19="Mayor"),CONCATENATE("R2C",'Mapa final'!$O$19),"")</f>
        <v/>
      </c>
      <c r="AF17" s="52" t="str">
        <f>IF(AND('Mapa final'!$Y$20="Alta",'Mapa final'!$AA$20="Mayor"),CONCATENATE("R2C",'Mapa final'!$O$20),"")</f>
        <v/>
      </c>
      <c r="AG17" s="53" t="str">
        <f>IF(AND('Mapa final'!$Y$21="Alta",'Mapa final'!$AA$21="Mayor"),CONCATENATE("R2C",'Mapa final'!$O$21),"")</f>
        <v/>
      </c>
      <c r="AH17" s="54" t="str">
        <f ca="1">IF(AND('Mapa final'!$Y$16="Alta",'Mapa final'!$AA$16="Catastrófico"),CONCATENATE("R2C",'Mapa final'!$O$16),"")</f>
        <v/>
      </c>
      <c r="AI17" s="55" t="str">
        <f>IF(AND('Mapa final'!$Y$17="Alta",'Mapa final'!$AA$17="Catastrófico"),CONCATENATE("R2C",'Mapa final'!$O$17),"")</f>
        <v/>
      </c>
      <c r="AJ17" s="55" t="str">
        <f>IF(AND('Mapa final'!$Y$18="Alta",'Mapa final'!$AA$18="Catastrófico"),CONCATENATE("R2C",'Mapa final'!$O$18),"")</f>
        <v/>
      </c>
      <c r="AK17" s="55" t="str">
        <f>IF(AND('Mapa final'!$Y$19="Alta",'Mapa final'!$AA$19="Catastrófico"),CONCATENATE("R2C",'Mapa final'!$O$19),"")</f>
        <v/>
      </c>
      <c r="AL17" s="55" t="str">
        <f>IF(AND('Mapa final'!$Y$20="Alta",'Mapa final'!$AA$20="Catastrófico"),CONCATENATE("R2C",'Mapa final'!$O$20),"")</f>
        <v/>
      </c>
      <c r="AM17" s="56" t="str">
        <f>IF(AND('Mapa final'!$Y$21="Alta",'Mapa final'!$AA$21="Catastrófico"),CONCATENATE("R2C",'Mapa final'!$O$21),"")</f>
        <v/>
      </c>
      <c r="AN17" s="82"/>
      <c r="AO17" s="497"/>
      <c r="AP17" s="498"/>
      <c r="AQ17" s="498"/>
      <c r="AR17" s="498"/>
      <c r="AS17" s="498"/>
      <c r="AT17" s="499"/>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446"/>
      <c r="C18" s="446"/>
      <c r="D18" s="447"/>
      <c r="E18" s="487"/>
      <c r="F18" s="488"/>
      <c r="G18" s="488"/>
      <c r="H18" s="488"/>
      <c r="I18" s="488"/>
      <c r="J18" s="66" t="str">
        <f ca="1">IF(AND('Mapa final'!$Y$22="Alta",'Mapa final'!$AA$22="Leve"),CONCATENATE("R3C",'Mapa final'!$O$22),"")</f>
        <v/>
      </c>
      <c r="K18" s="67" t="str">
        <f>IF(AND('Mapa final'!$Y$23="Alta",'Mapa final'!$AA$23="Leve"),CONCATENATE("R3C",'Mapa final'!$O$23),"")</f>
        <v/>
      </c>
      <c r="L18" s="67" t="str">
        <f>IF(AND('Mapa final'!$Y$24="Alta",'Mapa final'!$AA$24="Leve"),CONCATENATE("R3C",'Mapa final'!$O$24),"")</f>
        <v/>
      </c>
      <c r="M18" s="67" t="str">
        <f>IF(AND('Mapa final'!$Y$25="Alta",'Mapa final'!$AA$25="Leve"),CONCATENATE("R3C",'Mapa final'!$O$25),"")</f>
        <v/>
      </c>
      <c r="N18" s="67" t="str">
        <f>IF(AND('Mapa final'!$Y$26="Alta",'Mapa final'!$AA$26="Leve"),CONCATENATE("R3C",'Mapa final'!$O$26),"")</f>
        <v/>
      </c>
      <c r="O18" s="68" t="str">
        <f>IF(AND('Mapa final'!$Y$27="Alta",'Mapa final'!$AA$27="Leve"),CONCATENATE("R3C",'Mapa final'!$O$27),"")</f>
        <v/>
      </c>
      <c r="P18" s="66" t="str">
        <f ca="1">IF(AND('Mapa final'!$Y$22="Alta",'Mapa final'!$AA$22="Menor"),CONCATENATE("R3C",'Mapa final'!$O$22),"")</f>
        <v/>
      </c>
      <c r="Q18" s="67" t="str">
        <f>IF(AND('Mapa final'!$Y$23="Alta",'Mapa final'!$AA$23="Menor"),CONCATENATE("R3C",'Mapa final'!$O$23),"")</f>
        <v/>
      </c>
      <c r="R18" s="67" t="str">
        <f>IF(AND('Mapa final'!$Y$24="Alta",'Mapa final'!$AA$24="Menor"),CONCATENATE("R3C",'Mapa final'!$O$24),"")</f>
        <v/>
      </c>
      <c r="S18" s="67" t="str">
        <f>IF(AND('Mapa final'!$Y$25="Alta",'Mapa final'!$AA$25="Menor"),CONCATENATE("R3C",'Mapa final'!$O$25),"")</f>
        <v/>
      </c>
      <c r="T18" s="67" t="str">
        <f>IF(AND('Mapa final'!$Y$26="Alta",'Mapa final'!$AA$26="Menor"),CONCATENATE("R3C",'Mapa final'!$O$26),"")</f>
        <v/>
      </c>
      <c r="U18" s="68" t="str">
        <f>IF(AND('Mapa final'!$Y$27="Alta",'Mapa final'!$AA$27="Menor"),CONCATENATE("R3C",'Mapa final'!$O$27),"")</f>
        <v/>
      </c>
      <c r="V18" s="51" t="str">
        <f ca="1">IF(AND('Mapa final'!$Y$22="Alta",'Mapa final'!$AA$22="Moderado"),CONCATENATE("R3C",'Mapa final'!$O$22),"")</f>
        <v/>
      </c>
      <c r="W18" s="52" t="str">
        <f>IF(AND('Mapa final'!$Y$23="Alta",'Mapa final'!$AA$23="Moderado"),CONCATENATE("R3C",'Mapa final'!$O$23),"")</f>
        <v/>
      </c>
      <c r="X18" s="52" t="str">
        <f>IF(AND('Mapa final'!$Y$24="Alta",'Mapa final'!$AA$24="Moderado"),CONCATENATE("R3C",'Mapa final'!$O$24),"")</f>
        <v/>
      </c>
      <c r="Y18" s="52" t="str">
        <f>IF(AND('Mapa final'!$Y$25="Alta",'Mapa final'!$AA$25="Moderado"),CONCATENATE("R3C",'Mapa final'!$O$25),"")</f>
        <v/>
      </c>
      <c r="Z18" s="52" t="str">
        <f>IF(AND('Mapa final'!$Y$26="Alta",'Mapa final'!$AA$26="Moderado"),CONCATENATE("R3C",'Mapa final'!$O$26),"")</f>
        <v/>
      </c>
      <c r="AA18" s="53" t="str">
        <f>IF(AND('Mapa final'!$Y$27="Alta",'Mapa final'!$AA$27="Moderado"),CONCATENATE("R3C",'Mapa final'!$O$27),"")</f>
        <v/>
      </c>
      <c r="AB18" s="51" t="str">
        <f ca="1">IF(AND('Mapa final'!$Y$22="Alta",'Mapa final'!$AA$22="Mayor"),CONCATENATE("R3C",'Mapa final'!$O$22),"")</f>
        <v/>
      </c>
      <c r="AC18" s="52" t="str">
        <f>IF(AND('Mapa final'!$Y$23="Alta",'Mapa final'!$AA$23="Mayor"),CONCATENATE("R3C",'Mapa final'!$O$23),"")</f>
        <v/>
      </c>
      <c r="AD18" s="52" t="str">
        <f>IF(AND('Mapa final'!$Y$24="Alta",'Mapa final'!$AA$24="Mayor"),CONCATENATE("R3C",'Mapa final'!$O$24),"")</f>
        <v/>
      </c>
      <c r="AE18" s="52" t="str">
        <f>IF(AND('Mapa final'!$Y$25="Alta",'Mapa final'!$AA$25="Mayor"),CONCATENATE("R3C",'Mapa final'!$O$25),"")</f>
        <v/>
      </c>
      <c r="AF18" s="52" t="str">
        <f>IF(AND('Mapa final'!$Y$26="Alta",'Mapa final'!$AA$26="Mayor"),CONCATENATE("R3C",'Mapa final'!$O$26),"")</f>
        <v/>
      </c>
      <c r="AG18" s="53" t="str">
        <f>IF(AND('Mapa final'!$Y$27="Alta",'Mapa final'!$AA$27="Mayor"),CONCATENATE("R3C",'Mapa final'!$O$27),"")</f>
        <v/>
      </c>
      <c r="AH18" s="54" t="str">
        <f ca="1">IF(AND('Mapa final'!$Y$22="Alta",'Mapa final'!$AA$22="Catastrófico"),CONCATENATE("R3C",'Mapa final'!$O$22),"")</f>
        <v/>
      </c>
      <c r="AI18" s="55" t="str">
        <f>IF(AND('Mapa final'!$Y$23="Alta",'Mapa final'!$AA$23="Catastrófico"),CONCATENATE("R3C",'Mapa final'!$O$23),"")</f>
        <v/>
      </c>
      <c r="AJ18" s="55" t="str">
        <f>IF(AND('Mapa final'!$Y$24="Alta",'Mapa final'!$AA$24="Catastrófico"),CONCATENATE("R3C",'Mapa final'!$O$24),"")</f>
        <v/>
      </c>
      <c r="AK18" s="55" t="str">
        <f>IF(AND('Mapa final'!$Y$25="Alta",'Mapa final'!$AA$25="Catastrófico"),CONCATENATE("R3C",'Mapa final'!$O$25),"")</f>
        <v/>
      </c>
      <c r="AL18" s="55" t="str">
        <f>IF(AND('Mapa final'!$Y$26="Alta",'Mapa final'!$AA$26="Catastrófico"),CONCATENATE("R3C",'Mapa final'!$O$26),"")</f>
        <v/>
      </c>
      <c r="AM18" s="56" t="str">
        <f>IF(AND('Mapa final'!$Y$27="Alta",'Mapa final'!$AA$27="Catastrófico"),CONCATENATE("R3C",'Mapa final'!$O$27),"")</f>
        <v/>
      </c>
      <c r="AN18" s="82"/>
      <c r="AO18" s="497"/>
      <c r="AP18" s="498"/>
      <c r="AQ18" s="498"/>
      <c r="AR18" s="498"/>
      <c r="AS18" s="498"/>
      <c r="AT18" s="499"/>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446"/>
      <c r="C19" s="446"/>
      <c r="D19" s="447"/>
      <c r="E19" s="487"/>
      <c r="F19" s="488"/>
      <c r="G19" s="488"/>
      <c r="H19" s="488"/>
      <c r="I19" s="488"/>
      <c r="J19" s="66" t="str">
        <f ca="1">IF(AND('Mapa final'!$Y$28="Alta",'Mapa final'!$AA$28="Leve"),CONCATENATE("R4C",'Mapa final'!$O$28),"")</f>
        <v/>
      </c>
      <c r="K19" s="67" t="str">
        <f>IF(AND('Mapa final'!$Y$29="Alta",'Mapa final'!$AA$29="Leve"),CONCATENATE("R4C",'Mapa final'!$O$29),"")</f>
        <v/>
      </c>
      <c r="L19" s="67" t="str">
        <f>IF(AND('Mapa final'!$Y$30="Alta",'Mapa final'!$AA$30="Leve"),CONCATENATE("R4C",'Mapa final'!$O$30),"")</f>
        <v/>
      </c>
      <c r="M19" s="67" t="str">
        <f>IF(AND('Mapa final'!$Y$31="Alta",'Mapa final'!$AA$31="Leve"),CONCATENATE("R4C",'Mapa final'!$O$31),"")</f>
        <v/>
      </c>
      <c r="N19" s="67" t="str">
        <f>IF(AND('Mapa final'!$Y$32="Alta",'Mapa final'!$AA$32="Leve"),CONCATENATE("R4C",'Mapa final'!$O$32),"")</f>
        <v/>
      </c>
      <c r="O19" s="68" t="str">
        <f>IF(AND('Mapa final'!$Y$33="Alta",'Mapa final'!$AA$33="Leve"),CONCATENATE("R4C",'Mapa final'!$O$33),"")</f>
        <v/>
      </c>
      <c r="P19" s="66" t="str">
        <f ca="1">IF(AND('Mapa final'!$Y$28="Alta",'Mapa final'!$AA$28="Menor"),CONCATENATE("R4C",'Mapa final'!$O$28),"")</f>
        <v/>
      </c>
      <c r="Q19" s="67" t="str">
        <f>IF(AND('Mapa final'!$Y$29="Alta",'Mapa final'!$AA$29="Menor"),CONCATENATE("R4C",'Mapa final'!$O$29),"")</f>
        <v/>
      </c>
      <c r="R19" s="67" t="str">
        <f>IF(AND('Mapa final'!$Y$30="Alta",'Mapa final'!$AA$30="Menor"),CONCATENATE("R4C",'Mapa final'!$O$30),"")</f>
        <v/>
      </c>
      <c r="S19" s="67" t="str">
        <f>IF(AND('Mapa final'!$Y$31="Alta",'Mapa final'!$AA$31="Menor"),CONCATENATE("R4C",'Mapa final'!$O$31),"")</f>
        <v/>
      </c>
      <c r="T19" s="67" t="str">
        <f>IF(AND('Mapa final'!$Y$32="Alta",'Mapa final'!$AA$32="Menor"),CONCATENATE("R4C",'Mapa final'!$O$32),"")</f>
        <v/>
      </c>
      <c r="U19" s="68" t="str">
        <f>IF(AND('Mapa final'!$Y$33="Alta",'Mapa final'!$AA$33="Menor"),CONCATENATE("R4C",'Mapa final'!$O$33),"")</f>
        <v/>
      </c>
      <c r="V19" s="51" t="str">
        <f ca="1">IF(AND('Mapa final'!$Y$28="Alta",'Mapa final'!$AA$28="Moderado"),CONCATENATE("R4C",'Mapa final'!$O$28),"")</f>
        <v/>
      </c>
      <c r="W19" s="52" t="str">
        <f>IF(AND('Mapa final'!$Y$29="Alta",'Mapa final'!$AA$29="Moderado"),CONCATENATE("R4C",'Mapa final'!$O$29),"")</f>
        <v/>
      </c>
      <c r="X19" s="52" t="str">
        <f>IF(AND('Mapa final'!$Y$30="Alta",'Mapa final'!$AA$30="Moderado"),CONCATENATE("R4C",'Mapa final'!$O$30),"")</f>
        <v/>
      </c>
      <c r="Y19" s="52" t="str">
        <f>IF(AND('Mapa final'!$Y$31="Alta",'Mapa final'!$AA$31="Moderado"),CONCATENATE("R4C",'Mapa final'!$O$31),"")</f>
        <v/>
      </c>
      <c r="Z19" s="52" t="str">
        <f>IF(AND('Mapa final'!$Y$32="Alta",'Mapa final'!$AA$32="Moderado"),CONCATENATE("R4C",'Mapa final'!$O$32),"")</f>
        <v/>
      </c>
      <c r="AA19" s="53" t="str">
        <f>IF(AND('Mapa final'!$Y$33="Alta",'Mapa final'!$AA$33="Moderado"),CONCATENATE("R4C",'Mapa final'!$O$33),"")</f>
        <v/>
      </c>
      <c r="AB19" s="51" t="str">
        <f ca="1">IF(AND('Mapa final'!$Y$28="Alta",'Mapa final'!$AA$28="Mayor"),CONCATENATE("R4C",'Mapa final'!$O$28),"")</f>
        <v/>
      </c>
      <c r="AC19" s="52" t="str">
        <f>IF(AND('Mapa final'!$Y$29="Alta",'Mapa final'!$AA$29="Mayor"),CONCATENATE("R4C",'Mapa final'!$O$29),"")</f>
        <v/>
      </c>
      <c r="AD19" s="52" t="str">
        <f>IF(AND('Mapa final'!$Y$30="Alta",'Mapa final'!$AA$30="Mayor"),CONCATENATE("R4C",'Mapa final'!$O$30),"")</f>
        <v/>
      </c>
      <c r="AE19" s="52" t="str">
        <f>IF(AND('Mapa final'!$Y$31="Alta",'Mapa final'!$AA$31="Mayor"),CONCATENATE("R4C",'Mapa final'!$O$31),"")</f>
        <v/>
      </c>
      <c r="AF19" s="52" t="str">
        <f>IF(AND('Mapa final'!$Y$32="Alta",'Mapa final'!$AA$32="Mayor"),CONCATENATE("R4C",'Mapa final'!$O$32),"")</f>
        <v/>
      </c>
      <c r="AG19" s="53" t="str">
        <f>IF(AND('Mapa final'!$Y$33="Alta",'Mapa final'!$AA$33="Mayor"),CONCATENATE("R4C",'Mapa final'!$O$33),"")</f>
        <v/>
      </c>
      <c r="AH19" s="54" t="str">
        <f ca="1">IF(AND('Mapa final'!$Y$28="Alta",'Mapa final'!$AA$28="Catastrófico"),CONCATENATE("R4C",'Mapa final'!$O$28),"")</f>
        <v/>
      </c>
      <c r="AI19" s="55" t="str">
        <f>IF(AND('Mapa final'!$Y$29="Alta",'Mapa final'!$AA$29="Catastrófico"),CONCATENATE("R4C",'Mapa final'!$O$29),"")</f>
        <v/>
      </c>
      <c r="AJ19" s="55" t="str">
        <f>IF(AND('Mapa final'!$Y$30="Alta",'Mapa final'!$AA$30="Catastrófico"),CONCATENATE("R4C",'Mapa final'!$O$30),"")</f>
        <v/>
      </c>
      <c r="AK19" s="55" t="str">
        <f>IF(AND('Mapa final'!$Y$31="Alta",'Mapa final'!$AA$31="Catastrófico"),CONCATENATE("R4C",'Mapa final'!$O$31),"")</f>
        <v/>
      </c>
      <c r="AL19" s="55" t="str">
        <f>IF(AND('Mapa final'!$Y$32="Alta",'Mapa final'!$AA$32="Catastrófico"),CONCATENATE("R4C",'Mapa final'!$O$32),"")</f>
        <v/>
      </c>
      <c r="AM19" s="56" t="str">
        <f>IF(AND('Mapa final'!$Y$33="Alta",'Mapa final'!$AA$33="Catastrófico"),CONCATENATE("R4C",'Mapa final'!$O$33),"")</f>
        <v/>
      </c>
      <c r="AN19" s="82"/>
      <c r="AO19" s="497"/>
      <c r="AP19" s="498"/>
      <c r="AQ19" s="498"/>
      <c r="AR19" s="498"/>
      <c r="AS19" s="498"/>
      <c r="AT19" s="499"/>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446"/>
      <c r="C20" s="446"/>
      <c r="D20" s="447"/>
      <c r="E20" s="487"/>
      <c r="F20" s="488"/>
      <c r="G20" s="488"/>
      <c r="H20" s="488"/>
      <c r="I20" s="488"/>
      <c r="J20" s="66" t="str">
        <f ca="1">IF(AND('Mapa final'!$Y$34="Alta",'Mapa final'!$AA$34="Leve"),CONCATENATE("R5C",'Mapa final'!$O$34),"")</f>
        <v/>
      </c>
      <c r="K20" s="67" t="e">
        <f>IF(AND('Mapa final'!#REF!="Alta",'Mapa final'!#REF!="Leve"),CONCATENATE("R5C",'Mapa final'!#REF!),"")</f>
        <v>#REF!</v>
      </c>
      <c r="L20" s="67" t="e">
        <f>IF(AND('Mapa final'!#REF!="Alta",'Mapa final'!#REF!="Leve"),CONCATENATE("R5C",'Mapa final'!#REF!),"")</f>
        <v>#REF!</v>
      </c>
      <c r="M20" s="67" t="e">
        <f>IF(AND('Mapa final'!#REF!="Alta",'Mapa final'!#REF!="Leve"),CONCATENATE("R5C",'Mapa final'!#REF!),"")</f>
        <v>#REF!</v>
      </c>
      <c r="N20" s="67" t="str">
        <f>IF(AND('Mapa final'!$Y$35="Alta",'Mapa final'!$AA$35="Leve"),CONCATENATE("R5C",'Mapa final'!$O$35),"")</f>
        <v/>
      </c>
      <c r="O20" s="68" t="str">
        <f>IF(AND('Mapa final'!$Y$36="Alta",'Mapa final'!$AA$36="Leve"),CONCATENATE("R5C",'Mapa final'!$O$36),"")</f>
        <v/>
      </c>
      <c r="P20" s="66" t="str">
        <f ca="1">IF(AND('Mapa final'!$Y$34="Alta",'Mapa final'!$AA$34="Menor"),CONCATENATE("R5C",'Mapa final'!$O$34),"")</f>
        <v/>
      </c>
      <c r="Q20" s="67" t="e">
        <f>IF(AND('Mapa final'!#REF!="Alta",'Mapa final'!#REF!="Menor"),CONCATENATE("R5C",'Mapa final'!#REF!),"")</f>
        <v>#REF!</v>
      </c>
      <c r="R20" s="67" t="e">
        <f>IF(AND('Mapa final'!#REF!="Alta",'Mapa final'!#REF!="Menor"),CONCATENATE("R5C",'Mapa final'!#REF!),"")</f>
        <v>#REF!</v>
      </c>
      <c r="S20" s="67" t="e">
        <f>IF(AND('Mapa final'!#REF!="Alta",'Mapa final'!#REF!="Menor"),CONCATENATE("R5C",'Mapa final'!#REF!),"")</f>
        <v>#REF!</v>
      </c>
      <c r="T20" s="67" t="str">
        <f>IF(AND('Mapa final'!$Y$35="Alta",'Mapa final'!$AA$35="Menor"),CONCATENATE("R5C",'Mapa final'!$O$35),"")</f>
        <v/>
      </c>
      <c r="U20" s="68" t="str">
        <f>IF(AND('Mapa final'!$Y$36="Alta",'Mapa final'!$AA$36="Menor"),CONCATENATE("R5C",'Mapa final'!$O$36),"")</f>
        <v/>
      </c>
      <c r="V20" s="51" t="str">
        <f ca="1">IF(AND('Mapa final'!$Y$34="Alta",'Mapa final'!$AA$34="Moderado"),CONCATENATE("R5C",'Mapa final'!$O$34),"")</f>
        <v/>
      </c>
      <c r="W20" s="52" t="e">
        <f>IF(AND('Mapa final'!#REF!="Alta",'Mapa final'!#REF!="Moderado"),CONCATENATE("R5C",'Mapa final'!#REF!),"")</f>
        <v>#REF!</v>
      </c>
      <c r="X20" s="52" t="e">
        <f>IF(AND('Mapa final'!#REF!="Alta",'Mapa final'!#REF!="Moderado"),CONCATENATE("R5C",'Mapa final'!#REF!),"")</f>
        <v>#REF!</v>
      </c>
      <c r="Y20" s="52" t="e">
        <f>IF(AND('Mapa final'!#REF!="Alta",'Mapa final'!#REF!="Moderado"),CONCATENATE("R5C",'Mapa final'!#REF!),"")</f>
        <v>#REF!</v>
      </c>
      <c r="Z20" s="52" t="str">
        <f>IF(AND('Mapa final'!$Y$35="Alta",'Mapa final'!$AA$35="Moderado"),CONCATENATE("R5C",'Mapa final'!$O$35),"")</f>
        <v/>
      </c>
      <c r="AA20" s="53" t="str">
        <f>IF(AND('Mapa final'!$Y$36="Alta",'Mapa final'!$AA$36="Moderado"),CONCATENATE("R5C",'Mapa final'!$O$36),"")</f>
        <v/>
      </c>
      <c r="AB20" s="51" t="str">
        <f ca="1">IF(AND('Mapa final'!$Y$34="Alta",'Mapa final'!$AA$34="Mayor"),CONCATENATE("R5C",'Mapa final'!$O$34),"")</f>
        <v/>
      </c>
      <c r="AC20" s="52" t="e">
        <f>IF(AND('Mapa final'!#REF!="Alta",'Mapa final'!#REF!="Mayor"),CONCATENATE("R5C",'Mapa final'!#REF!),"")</f>
        <v>#REF!</v>
      </c>
      <c r="AD20" s="52" t="e">
        <f>IF(AND('Mapa final'!#REF!="Alta",'Mapa final'!#REF!="Mayor"),CONCATENATE("R5C",'Mapa final'!#REF!),"")</f>
        <v>#REF!</v>
      </c>
      <c r="AE20" s="52" t="e">
        <f>IF(AND('Mapa final'!#REF!="Alta",'Mapa final'!#REF!="Mayor"),CONCATENATE("R5C",'Mapa final'!#REF!),"")</f>
        <v>#REF!</v>
      </c>
      <c r="AF20" s="52" t="str">
        <f>IF(AND('Mapa final'!$Y$35="Alta",'Mapa final'!$AA$35="Mayor"),CONCATENATE("R5C",'Mapa final'!$O$35),"")</f>
        <v/>
      </c>
      <c r="AG20" s="53" t="str">
        <f>IF(AND('Mapa final'!$Y$36="Alta",'Mapa final'!$AA$36="Mayor"),CONCATENATE("R5C",'Mapa final'!$O$36),"")</f>
        <v/>
      </c>
      <c r="AH20" s="54" t="str">
        <f ca="1">IF(AND('Mapa final'!$Y$34="Alta",'Mapa final'!$AA$34="Catastrófico"),CONCATENATE("R5C",'Mapa final'!$O$34),"")</f>
        <v/>
      </c>
      <c r="AI20" s="55" t="e">
        <f>IF(AND('Mapa final'!#REF!="Alta",'Mapa final'!#REF!="Catastrófico"),CONCATENATE("R5C",'Mapa final'!#REF!),"")</f>
        <v>#REF!</v>
      </c>
      <c r="AJ20" s="55" t="e">
        <f>IF(AND('Mapa final'!#REF!="Alta",'Mapa final'!#REF!="Catastrófico"),CONCATENATE("R5C",'Mapa final'!#REF!),"")</f>
        <v>#REF!</v>
      </c>
      <c r="AK20" s="55" t="e">
        <f>IF(AND('Mapa final'!#REF!="Alta",'Mapa final'!#REF!="Catastrófico"),CONCATENATE("R5C",'Mapa final'!#REF!),"")</f>
        <v>#REF!</v>
      </c>
      <c r="AL20" s="55" t="str">
        <f>IF(AND('Mapa final'!$Y$35="Alta",'Mapa final'!$AA$35="Catastrófico"),CONCATENATE("R5C",'Mapa final'!$O$35),"")</f>
        <v/>
      </c>
      <c r="AM20" s="56" t="str">
        <f>IF(AND('Mapa final'!$Y$36="Alta",'Mapa final'!$AA$36="Catastrófico"),CONCATENATE("R5C",'Mapa final'!$O$36),"")</f>
        <v/>
      </c>
      <c r="AN20" s="82"/>
      <c r="AO20" s="497"/>
      <c r="AP20" s="498"/>
      <c r="AQ20" s="498"/>
      <c r="AR20" s="498"/>
      <c r="AS20" s="498"/>
      <c r="AT20" s="499"/>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446"/>
      <c r="C21" s="446"/>
      <c r="D21" s="447"/>
      <c r="E21" s="487"/>
      <c r="F21" s="488"/>
      <c r="G21" s="488"/>
      <c r="H21" s="488"/>
      <c r="I21" s="488"/>
      <c r="J21" s="66" t="str">
        <f ca="1">IF(AND('Mapa final'!$Y$37="Alta",'Mapa final'!$AA$37="Leve"),CONCATENATE("R6C",'Mapa final'!$O$37),"")</f>
        <v/>
      </c>
      <c r="K21" s="67" t="str">
        <f>IF(AND('Mapa final'!$Y$38="Alta",'Mapa final'!$AA$38="Leve"),CONCATENATE("R6C",'Mapa final'!$O$38),"")</f>
        <v/>
      </c>
      <c r="L21" s="67" t="str">
        <f>IF(AND('Mapa final'!$Y$39="Alta",'Mapa final'!$AA$39="Leve"),CONCATENATE("R6C",'Mapa final'!$O$39),"")</f>
        <v/>
      </c>
      <c r="M21" s="67" t="str">
        <f>IF(AND('Mapa final'!$Y$40="Alta",'Mapa final'!$AA$40="Leve"),CONCATENATE("R6C",'Mapa final'!$O$40),"")</f>
        <v/>
      </c>
      <c r="N21" s="67" t="str">
        <f>IF(AND('Mapa final'!$Y$41="Alta",'Mapa final'!$AA$41="Leve"),CONCATENATE("R6C",'Mapa final'!$O$41),"")</f>
        <v/>
      </c>
      <c r="O21" s="68" t="str">
        <f>IF(AND('Mapa final'!$Y$42="Alta",'Mapa final'!$AA$42="Leve"),CONCATENATE("R6C",'Mapa final'!$O$42),"")</f>
        <v/>
      </c>
      <c r="P21" s="66" t="str">
        <f ca="1">IF(AND('Mapa final'!$Y$37="Alta",'Mapa final'!$AA$37="Menor"),CONCATENATE("R6C",'Mapa final'!$O$37),"")</f>
        <v/>
      </c>
      <c r="Q21" s="67" t="str">
        <f>IF(AND('Mapa final'!$Y$38="Alta",'Mapa final'!$AA$38="Menor"),CONCATENATE("R6C",'Mapa final'!$O$38),"")</f>
        <v/>
      </c>
      <c r="R21" s="67" t="str">
        <f>IF(AND('Mapa final'!$Y$39="Alta",'Mapa final'!$AA$39="Menor"),CONCATENATE("R6C",'Mapa final'!$O$39),"")</f>
        <v/>
      </c>
      <c r="S21" s="67" t="str">
        <f>IF(AND('Mapa final'!$Y$40="Alta",'Mapa final'!$AA$40="Menor"),CONCATENATE("R6C",'Mapa final'!$O$40),"")</f>
        <v/>
      </c>
      <c r="T21" s="67" t="str">
        <f>IF(AND('Mapa final'!$Y$41="Alta",'Mapa final'!$AA$41="Menor"),CONCATENATE("R6C",'Mapa final'!$O$41),"")</f>
        <v/>
      </c>
      <c r="U21" s="68" t="str">
        <f>IF(AND('Mapa final'!$Y$42="Alta",'Mapa final'!$AA$42="Menor"),CONCATENATE("R6C",'Mapa final'!$O$42),"")</f>
        <v/>
      </c>
      <c r="V21" s="51" t="str">
        <f ca="1">IF(AND('Mapa final'!$Y$37="Alta",'Mapa final'!$AA$37="Moderado"),CONCATENATE("R6C",'Mapa final'!$O$37),"")</f>
        <v/>
      </c>
      <c r="W21" s="52" t="str">
        <f>IF(AND('Mapa final'!$Y$38="Alta",'Mapa final'!$AA$38="Moderado"),CONCATENATE("R6C",'Mapa final'!$O$38),"")</f>
        <v/>
      </c>
      <c r="X21" s="52" t="str">
        <f>IF(AND('Mapa final'!$Y$39="Alta",'Mapa final'!$AA$39="Moderado"),CONCATENATE("R6C",'Mapa final'!$O$39),"")</f>
        <v/>
      </c>
      <c r="Y21" s="52" t="str">
        <f>IF(AND('Mapa final'!$Y$40="Alta",'Mapa final'!$AA$40="Moderado"),CONCATENATE("R6C",'Mapa final'!$O$40),"")</f>
        <v/>
      </c>
      <c r="Z21" s="52" t="str">
        <f>IF(AND('Mapa final'!$Y$41="Alta",'Mapa final'!$AA$41="Moderado"),CONCATENATE("R6C",'Mapa final'!$O$41),"")</f>
        <v/>
      </c>
      <c r="AA21" s="53" t="str">
        <f>IF(AND('Mapa final'!$Y$42="Alta",'Mapa final'!$AA$42="Moderado"),CONCATENATE("R6C",'Mapa final'!$O$42),"")</f>
        <v/>
      </c>
      <c r="AB21" s="51" t="str">
        <f ca="1">IF(AND('Mapa final'!$Y$37="Alta",'Mapa final'!$AA$37="Mayor"),CONCATENATE("R6C",'Mapa final'!$O$37),"")</f>
        <v/>
      </c>
      <c r="AC21" s="52" t="str">
        <f>IF(AND('Mapa final'!$Y$38="Alta",'Mapa final'!$AA$38="Mayor"),CONCATENATE("R6C",'Mapa final'!$O$38),"")</f>
        <v/>
      </c>
      <c r="AD21" s="52" t="str">
        <f>IF(AND('Mapa final'!$Y$39="Alta",'Mapa final'!$AA$39="Mayor"),CONCATENATE("R6C",'Mapa final'!$O$39),"")</f>
        <v/>
      </c>
      <c r="AE21" s="52" t="str">
        <f>IF(AND('Mapa final'!$Y$40="Alta",'Mapa final'!$AA$40="Mayor"),CONCATENATE("R6C",'Mapa final'!$O$40),"")</f>
        <v/>
      </c>
      <c r="AF21" s="52" t="str">
        <f>IF(AND('Mapa final'!$Y$41="Alta",'Mapa final'!$AA$41="Mayor"),CONCATENATE("R6C",'Mapa final'!$O$41),"")</f>
        <v/>
      </c>
      <c r="AG21" s="53" t="str">
        <f>IF(AND('Mapa final'!$Y$42="Alta",'Mapa final'!$AA$42="Mayor"),CONCATENATE("R6C",'Mapa final'!$O$42),"")</f>
        <v/>
      </c>
      <c r="AH21" s="54" t="str">
        <f ca="1">IF(AND('Mapa final'!$Y$37="Alta",'Mapa final'!$AA$37="Catastrófico"),CONCATENATE("R6C",'Mapa final'!$O$37),"")</f>
        <v/>
      </c>
      <c r="AI21" s="55" t="str">
        <f>IF(AND('Mapa final'!$Y$38="Alta",'Mapa final'!$AA$38="Catastrófico"),CONCATENATE("R6C",'Mapa final'!$O$38),"")</f>
        <v/>
      </c>
      <c r="AJ21" s="55" t="str">
        <f>IF(AND('Mapa final'!$Y$39="Alta",'Mapa final'!$AA$39="Catastrófico"),CONCATENATE("R6C",'Mapa final'!$O$39),"")</f>
        <v/>
      </c>
      <c r="AK21" s="55" t="str">
        <f>IF(AND('Mapa final'!$Y$40="Alta",'Mapa final'!$AA$40="Catastrófico"),CONCATENATE("R6C",'Mapa final'!$O$40),"")</f>
        <v/>
      </c>
      <c r="AL21" s="55" t="str">
        <f>IF(AND('Mapa final'!$Y$41="Alta",'Mapa final'!$AA$41="Catastrófico"),CONCATENATE("R6C",'Mapa final'!$O$41),"")</f>
        <v/>
      </c>
      <c r="AM21" s="56" t="str">
        <f>IF(AND('Mapa final'!$Y$42="Alta",'Mapa final'!$AA$42="Catastrófico"),CONCATENATE("R6C",'Mapa final'!$O$42),"")</f>
        <v/>
      </c>
      <c r="AN21" s="82"/>
      <c r="AO21" s="497"/>
      <c r="AP21" s="498"/>
      <c r="AQ21" s="498"/>
      <c r="AR21" s="498"/>
      <c r="AS21" s="498"/>
      <c r="AT21" s="499"/>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446"/>
      <c r="C22" s="446"/>
      <c r="D22" s="447"/>
      <c r="E22" s="487"/>
      <c r="F22" s="488"/>
      <c r="G22" s="488"/>
      <c r="H22" s="488"/>
      <c r="I22" s="488"/>
      <c r="J22" s="66" t="str">
        <f ca="1">IF(AND('Mapa final'!$Y$43="Alta",'Mapa final'!$AA$43="Leve"),CONCATENATE("R7C",'Mapa final'!$O$43),"")</f>
        <v/>
      </c>
      <c r="K22" s="67" t="str">
        <f>IF(AND('Mapa final'!$Y$44="Alta",'Mapa final'!$AA$44="Leve"),CONCATENATE("R7C",'Mapa final'!$O$44),"")</f>
        <v/>
      </c>
      <c r="L22" s="67" t="str">
        <f>IF(AND('Mapa final'!$Y$45="Alta",'Mapa final'!$AA$45="Leve"),CONCATENATE("R7C",'Mapa final'!$O$45),"")</f>
        <v/>
      </c>
      <c r="M22" s="67" t="str">
        <f>IF(AND('Mapa final'!$Y$46="Alta",'Mapa final'!$AA$46="Leve"),CONCATENATE("R7C",'Mapa final'!$O$46),"")</f>
        <v/>
      </c>
      <c r="N22" s="67" t="str">
        <f>IF(AND('Mapa final'!$Y$47="Alta",'Mapa final'!$AA$47="Leve"),CONCATENATE("R7C",'Mapa final'!$O$47),"")</f>
        <v/>
      </c>
      <c r="O22" s="68" t="str">
        <f>IF(AND('Mapa final'!$Y$48="Alta",'Mapa final'!$AA$48="Leve"),CONCATENATE("R7C",'Mapa final'!$O$48),"")</f>
        <v/>
      </c>
      <c r="P22" s="66" t="str">
        <f ca="1">IF(AND('Mapa final'!$Y$43="Alta",'Mapa final'!$AA$43="Menor"),CONCATENATE("R7C",'Mapa final'!$O$43),"")</f>
        <v/>
      </c>
      <c r="Q22" s="67" t="str">
        <f>IF(AND('Mapa final'!$Y$44="Alta",'Mapa final'!$AA$44="Menor"),CONCATENATE("R7C",'Mapa final'!$O$44),"")</f>
        <v/>
      </c>
      <c r="R22" s="67" t="str">
        <f>IF(AND('Mapa final'!$Y$45="Alta",'Mapa final'!$AA$45="Menor"),CONCATENATE("R7C",'Mapa final'!$O$45),"")</f>
        <v/>
      </c>
      <c r="S22" s="67" t="str">
        <f>IF(AND('Mapa final'!$Y$46="Alta",'Mapa final'!$AA$46="Menor"),CONCATENATE("R7C",'Mapa final'!$O$46),"")</f>
        <v/>
      </c>
      <c r="T22" s="67" t="str">
        <f>IF(AND('Mapa final'!$Y$47="Alta",'Mapa final'!$AA$47="Menor"),CONCATENATE("R7C",'Mapa final'!$O$47),"")</f>
        <v/>
      </c>
      <c r="U22" s="68" t="str">
        <f>IF(AND('Mapa final'!$Y$48="Alta",'Mapa final'!$AA$48="Menor"),CONCATENATE("R7C",'Mapa final'!$O$48),"")</f>
        <v/>
      </c>
      <c r="V22" s="51" t="str">
        <f ca="1">IF(AND('Mapa final'!$Y$43="Alta",'Mapa final'!$AA$43="Moderado"),CONCATENATE("R7C",'Mapa final'!$O$43),"")</f>
        <v/>
      </c>
      <c r="W22" s="52" t="str">
        <f>IF(AND('Mapa final'!$Y$44="Alta",'Mapa final'!$AA$44="Moderado"),CONCATENATE("R7C",'Mapa final'!$O$44),"")</f>
        <v/>
      </c>
      <c r="X22" s="52" t="str">
        <f>IF(AND('Mapa final'!$Y$45="Alta",'Mapa final'!$AA$45="Moderado"),CONCATENATE("R7C",'Mapa final'!$O$45),"")</f>
        <v/>
      </c>
      <c r="Y22" s="52" t="str">
        <f>IF(AND('Mapa final'!$Y$46="Alta",'Mapa final'!$AA$46="Moderado"),CONCATENATE("R7C",'Mapa final'!$O$46),"")</f>
        <v/>
      </c>
      <c r="Z22" s="52" t="str">
        <f>IF(AND('Mapa final'!$Y$47="Alta",'Mapa final'!$AA$47="Moderado"),CONCATENATE("R7C",'Mapa final'!$O$47),"")</f>
        <v/>
      </c>
      <c r="AA22" s="53" t="str">
        <f>IF(AND('Mapa final'!$Y$48="Alta",'Mapa final'!$AA$48="Moderado"),CONCATENATE("R7C",'Mapa final'!$O$48),"")</f>
        <v/>
      </c>
      <c r="AB22" s="51" t="str">
        <f ca="1">IF(AND('Mapa final'!$Y$43="Alta",'Mapa final'!$AA$43="Mayor"),CONCATENATE("R7C",'Mapa final'!$O$43),"")</f>
        <v/>
      </c>
      <c r="AC22" s="52" t="str">
        <f>IF(AND('Mapa final'!$Y$44="Alta",'Mapa final'!$AA$44="Mayor"),CONCATENATE("R7C",'Mapa final'!$O$44),"")</f>
        <v/>
      </c>
      <c r="AD22" s="52" t="str">
        <f>IF(AND('Mapa final'!$Y$45="Alta",'Mapa final'!$AA$45="Mayor"),CONCATENATE("R7C",'Mapa final'!$O$45),"")</f>
        <v/>
      </c>
      <c r="AE22" s="52" t="str">
        <f>IF(AND('Mapa final'!$Y$46="Alta",'Mapa final'!$AA$46="Mayor"),CONCATENATE("R7C",'Mapa final'!$O$46),"")</f>
        <v/>
      </c>
      <c r="AF22" s="52" t="str">
        <f>IF(AND('Mapa final'!$Y$47="Alta",'Mapa final'!$AA$47="Mayor"),CONCATENATE("R7C",'Mapa final'!$O$47),"")</f>
        <v/>
      </c>
      <c r="AG22" s="53" t="str">
        <f>IF(AND('Mapa final'!$Y$48="Alta",'Mapa final'!$AA$48="Mayor"),CONCATENATE("R7C",'Mapa final'!$O$48),"")</f>
        <v/>
      </c>
      <c r="AH22" s="54" t="str">
        <f ca="1">IF(AND('Mapa final'!$Y$43="Alta",'Mapa final'!$AA$43="Catastrófico"),CONCATENATE("R7C",'Mapa final'!$O$43),"")</f>
        <v/>
      </c>
      <c r="AI22" s="55" t="str">
        <f>IF(AND('Mapa final'!$Y$44="Alta",'Mapa final'!$AA$44="Catastrófico"),CONCATENATE("R7C",'Mapa final'!$O$44),"")</f>
        <v/>
      </c>
      <c r="AJ22" s="55" t="str">
        <f>IF(AND('Mapa final'!$Y$45="Alta",'Mapa final'!$AA$45="Catastrófico"),CONCATENATE("R7C",'Mapa final'!$O$45),"")</f>
        <v/>
      </c>
      <c r="AK22" s="55" t="str">
        <f>IF(AND('Mapa final'!$Y$46="Alta",'Mapa final'!$AA$46="Catastrófico"),CONCATENATE("R7C",'Mapa final'!$O$46),"")</f>
        <v/>
      </c>
      <c r="AL22" s="55" t="str">
        <f>IF(AND('Mapa final'!$Y$47="Alta",'Mapa final'!$AA$47="Catastrófico"),CONCATENATE("R7C",'Mapa final'!$O$47),"")</f>
        <v/>
      </c>
      <c r="AM22" s="56" t="str">
        <f>IF(AND('Mapa final'!$Y$48="Alta",'Mapa final'!$AA$48="Catastrófico"),CONCATENATE("R7C",'Mapa final'!$O$48),"")</f>
        <v/>
      </c>
      <c r="AN22" s="82"/>
      <c r="AO22" s="497"/>
      <c r="AP22" s="498"/>
      <c r="AQ22" s="498"/>
      <c r="AR22" s="498"/>
      <c r="AS22" s="498"/>
      <c r="AT22" s="499"/>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446"/>
      <c r="C23" s="446"/>
      <c r="D23" s="447"/>
      <c r="E23" s="487"/>
      <c r="F23" s="488"/>
      <c r="G23" s="488"/>
      <c r="H23" s="488"/>
      <c r="I23" s="488"/>
      <c r="J23" s="66" t="str">
        <f ca="1">IF(AND('Mapa final'!$Y$49="Alta",'Mapa final'!$AA$49="Leve"),CONCATENATE("R8C",'Mapa final'!$O$49),"")</f>
        <v/>
      </c>
      <c r="K23" s="67" t="str">
        <f>IF(AND('Mapa final'!$Y$50="Alta",'Mapa final'!$AA$50="Leve"),CONCATENATE("R8C",'Mapa final'!$O$50),"")</f>
        <v/>
      </c>
      <c r="L23" s="67" t="str">
        <f>IF(AND('Mapa final'!$Y$51="Alta",'Mapa final'!$AA$51="Leve"),CONCATENATE("R8C",'Mapa final'!$O$51),"")</f>
        <v/>
      </c>
      <c r="M23" s="67" t="str">
        <f ca="1">IF(AND('Mapa final'!$Y$52="Alta",'Mapa final'!$AA$52="Leve"),CONCATENATE("R8C",'Mapa final'!$O$52),"")</f>
        <v/>
      </c>
      <c r="N23" s="67" t="str">
        <f>IF(AND('Mapa final'!$Y$53="Alta",'Mapa final'!$AA$53="Leve"),CONCATENATE("R8C",'Mapa final'!$O$53),"")</f>
        <v/>
      </c>
      <c r="O23" s="68" t="str">
        <f>IF(AND('Mapa final'!$Y$54="Alta",'Mapa final'!$AA$54="Leve"),CONCATENATE("R8C",'Mapa final'!$O$54),"")</f>
        <v/>
      </c>
      <c r="P23" s="66" t="str">
        <f ca="1">IF(AND('Mapa final'!$Y$49="Alta",'Mapa final'!$AA$49="Menor"),CONCATENATE("R8C",'Mapa final'!$O$49),"")</f>
        <v/>
      </c>
      <c r="Q23" s="67" t="str">
        <f>IF(AND('Mapa final'!$Y$50="Alta",'Mapa final'!$AA$50="Menor"),CONCATENATE("R8C",'Mapa final'!$O$50),"")</f>
        <v/>
      </c>
      <c r="R23" s="67" t="str">
        <f>IF(AND('Mapa final'!$Y$51="Alta",'Mapa final'!$AA$51="Menor"),CONCATENATE("R8C",'Mapa final'!$O$51),"")</f>
        <v/>
      </c>
      <c r="S23" s="67" t="str">
        <f ca="1">IF(AND('Mapa final'!$Y$52="Alta",'Mapa final'!$AA$52="Menor"),CONCATENATE("R8C",'Mapa final'!$O$52),"")</f>
        <v/>
      </c>
      <c r="T23" s="67" t="str">
        <f>IF(AND('Mapa final'!$Y$53="Alta",'Mapa final'!$AA$53="Menor"),CONCATENATE("R8C",'Mapa final'!$O$53),"")</f>
        <v/>
      </c>
      <c r="U23" s="68" t="str">
        <f>IF(AND('Mapa final'!$Y$54="Alta",'Mapa final'!$AA$54="Menor"),CONCATENATE("R8C",'Mapa final'!$O$54),"")</f>
        <v/>
      </c>
      <c r="V23" s="51" t="str">
        <f ca="1">IF(AND('Mapa final'!$Y$49="Alta",'Mapa final'!$AA$49="Moderado"),CONCATENATE("R8C",'Mapa final'!$O$49),"")</f>
        <v/>
      </c>
      <c r="W23" s="52" t="str">
        <f>IF(AND('Mapa final'!$Y$50="Alta",'Mapa final'!$AA$50="Moderado"),CONCATENATE("R8C",'Mapa final'!$O$50),"")</f>
        <v/>
      </c>
      <c r="X23" s="52" t="str">
        <f>IF(AND('Mapa final'!$Y$51="Alta",'Mapa final'!$AA$51="Moderado"),CONCATENATE("R8C",'Mapa final'!$O$51),"")</f>
        <v/>
      </c>
      <c r="Y23" s="52" t="str">
        <f ca="1">IF(AND('Mapa final'!$Y$52="Alta",'Mapa final'!$AA$52="Moderado"),CONCATENATE("R8C",'Mapa final'!$O$52),"")</f>
        <v/>
      </c>
      <c r="Z23" s="52" t="str">
        <f>IF(AND('Mapa final'!$Y$53="Alta",'Mapa final'!$AA$53="Moderado"),CONCATENATE("R8C",'Mapa final'!$O$53),"")</f>
        <v/>
      </c>
      <c r="AA23" s="53" t="str">
        <f>IF(AND('Mapa final'!$Y$54="Alta",'Mapa final'!$AA$54="Moderado"),CONCATENATE("R8C",'Mapa final'!$O$54),"")</f>
        <v/>
      </c>
      <c r="AB23" s="51" t="str">
        <f ca="1">IF(AND('Mapa final'!$Y$49="Alta",'Mapa final'!$AA$49="Mayor"),CONCATENATE("R8C",'Mapa final'!$O$49),"")</f>
        <v/>
      </c>
      <c r="AC23" s="52" t="str">
        <f>IF(AND('Mapa final'!$Y$50="Alta",'Mapa final'!$AA$50="Mayor"),CONCATENATE("R8C",'Mapa final'!$O$50),"")</f>
        <v/>
      </c>
      <c r="AD23" s="52" t="str">
        <f>IF(AND('Mapa final'!$Y$51="Alta",'Mapa final'!$AA$51="Mayor"),CONCATENATE("R8C",'Mapa final'!$O$51),"")</f>
        <v/>
      </c>
      <c r="AE23" s="52" t="str">
        <f ca="1">IF(AND('Mapa final'!$Y$52="Alta",'Mapa final'!$AA$52="Mayor"),CONCATENATE("R8C",'Mapa final'!$O$52),"")</f>
        <v/>
      </c>
      <c r="AF23" s="52" t="str">
        <f>IF(AND('Mapa final'!$Y$53="Alta",'Mapa final'!$AA$53="Mayor"),CONCATENATE("R8C",'Mapa final'!$O$53),"")</f>
        <v/>
      </c>
      <c r="AG23" s="53" t="str">
        <f>IF(AND('Mapa final'!$Y$54="Alta",'Mapa final'!$AA$54="Mayor"),CONCATENATE("R8C",'Mapa final'!$O$54),"")</f>
        <v/>
      </c>
      <c r="AH23" s="54" t="str">
        <f ca="1">IF(AND('Mapa final'!$Y$49="Alta",'Mapa final'!$AA$49="Catastrófico"),CONCATENATE("R8C",'Mapa final'!$O$49),"")</f>
        <v/>
      </c>
      <c r="AI23" s="55" t="str">
        <f>IF(AND('Mapa final'!$Y$50="Alta",'Mapa final'!$AA$50="Catastrófico"),CONCATENATE("R8C",'Mapa final'!$O$50),"")</f>
        <v/>
      </c>
      <c r="AJ23" s="55" t="str">
        <f>IF(AND('Mapa final'!$Y$51="Alta",'Mapa final'!$AA$51="Catastrófico"),CONCATENATE("R8C",'Mapa final'!$O$51),"")</f>
        <v/>
      </c>
      <c r="AK23" s="55" t="str">
        <f ca="1">IF(AND('Mapa final'!$Y$52="Alta",'Mapa final'!$AA$52="Catastrófico"),CONCATENATE("R8C",'Mapa final'!$O$52),"")</f>
        <v/>
      </c>
      <c r="AL23" s="55" t="str">
        <f>IF(AND('Mapa final'!$Y$53="Alta",'Mapa final'!$AA$53="Catastrófico"),CONCATENATE("R8C",'Mapa final'!$O$53),"")</f>
        <v/>
      </c>
      <c r="AM23" s="56" t="str">
        <f>IF(AND('Mapa final'!$Y$54="Alta",'Mapa final'!$AA$54="Catastrófico"),CONCATENATE("R8C",'Mapa final'!$O$54),"")</f>
        <v/>
      </c>
      <c r="AN23" s="82"/>
      <c r="AO23" s="497"/>
      <c r="AP23" s="498"/>
      <c r="AQ23" s="498"/>
      <c r="AR23" s="498"/>
      <c r="AS23" s="498"/>
      <c r="AT23" s="499"/>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446"/>
      <c r="C24" s="446"/>
      <c r="D24" s="447"/>
      <c r="E24" s="487"/>
      <c r="F24" s="488"/>
      <c r="G24" s="488"/>
      <c r="H24" s="488"/>
      <c r="I24" s="488"/>
      <c r="J24" s="66" t="str">
        <f>IF(AND('Mapa final'!$Y$55="Alta",'Mapa final'!$AA$55="Leve"),CONCATENATE("R9C",'Mapa final'!$O$55),"")</f>
        <v/>
      </c>
      <c r="K24" s="67" t="str">
        <f>IF(AND('Mapa final'!$Y$56="Alta",'Mapa final'!$AA$56="Leve"),CONCATENATE("R9C",'Mapa final'!$O$56),"")</f>
        <v/>
      </c>
      <c r="L24" s="67" t="str">
        <f>IF(AND('Mapa final'!$Y$57="Alta",'Mapa final'!$AA$57="Leve"),CONCATENATE("R9C",'Mapa final'!$O$57),"")</f>
        <v/>
      </c>
      <c r="M24" s="67" t="str">
        <f>IF(AND('Mapa final'!$Y$58="Alta",'Mapa final'!$AA$58="Leve"),CONCATENATE("R9C",'Mapa final'!$O$58),"")</f>
        <v/>
      </c>
      <c r="N24" s="67" t="str">
        <f>IF(AND('Mapa final'!$Y$59="Alta",'Mapa final'!$AA$59="Leve"),CONCATENATE("R9C",'Mapa final'!$O$59),"")</f>
        <v/>
      </c>
      <c r="O24" s="68" t="str">
        <f>IF(AND('Mapa final'!$Y$60="Alta",'Mapa final'!$AA$60="Leve"),CONCATENATE("R9C",'Mapa final'!$O$60),"")</f>
        <v/>
      </c>
      <c r="P24" s="66" t="str">
        <f>IF(AND('Mapa final'!$Y$55="Alta",'Mapa final'!$AA$55="Menor"),CONCATENATE("R9C",'Mapa final'!$O$55),"")</f>
        <v/>
      </c>
      <c r="Q24" s="67" t="str">
        <f>IF(AND('Mapa final'!$Y$56="Alta",'Mapa final'!$AA$56="Menor"),CONCATENATE("R9C",'Mapa final'!$O$56),"")</f>
        <v/>
      </c>
      <c r="R24" s="67" t="str">
        <f>IF(AND('Mapa final'!$Y$57="Alta",'Mapa final'!$AA$57="Menor"),CONCATENATE("R9C",'Mapa final'!$O$57),"")</f>
        <v/>
      </c>
      <c r="S24" s="67" t="str">
        <f>IF(AND('Mapa final'!$Y$58="Alta",'Mapa final'!$AA$58="Menor"),CONCATENATE("R9C",'Mapa final'!$O$58),"")</f>
        <v/>
      </c>
      <c r="T24" s="67" t="str">
        <f>IF(AND('Mapa final'!$Y$59="Alta",'Mapa final'!$AA$59="Menor"),CONCATENATE("R9C",'Mapa final'!$O$59),"")</f>
        <v/>
      </c>
      <c r="U24" s="68" t="str">
        <f>IF(AND('Mapa final'!$Y$60="Alta",'Mapa final'!$AA$60="Menor"),CONCATENATE("R9C",'Mapa final'!$O$60),"")</f>
        <v/>
      </c>
      <c r="V24" s="51" t="str">
        <f>IF(AND('Mapa final'!$Y$55="Alta",'Mapa final'!$AA$55="Moderado"),CONCATENATE("R9C",'Mapa final'!$O$55),"")</f>
        <v/>
      </c>
      <c r="W24" s="52" t="str">
        <f>IF(AND('Mapa final'!$Y$56="Alta",'Mapa final'!$AA$56="Moderado"),CONCATENATE("R9C",'Mapa final'!$O$56),"")</f>
        <v/>
      </c>
      <c r="X24" s="52" t="str">
        <f>IF(AND('Mapa final'!$Y$57="Alta",'Mapa final'!$AA$57="Moderado"),CONCATENATE("R9C",'Mapa final'!$O$57),"")</f>
        <v/>
      </c>
      <c r="Y24" s="52" t="str">
        <f>IF(AND('Mapa final'!$Y$58="Alta",'Mapa final'!$AA$58="Moderado"),CONCATENATE("R9C",'Mapa final'!$O$58),"")</f>
        <v/>
      </c>
      <c r="Z24" s="52" t="str">
        <f>IF(AND('Mapa final'!$Y$59="Alta",'Mapa final'!$AA$59="Moderado"),CONCATENATE("R9C",'Mapa final'!$O$59),"")</f>
        <v/>
      </c>
      <c r="AA24" s="53" t="str">
        <f>IF(AND('Mapa final'!$Y$60="Alta",'Mapa final'!$AA$60="Moderado"),CONCATENATE("R9C",'Mapa final'!$O$60),"")</f>
        <v/>
      </c>
      <c r="AB24" s="51" t="str">
        <f>IF(AND('Mapa final'!$Y$55="Alta",'Mapa final'!$AA$55="Mayor"),CONCATENATE("R9C",'Mapa final'!$O$55),"")</f>
        <v/>
      </c>
      <c r="AC24" s="52" t="str">
        <f>IF(AND('Mapa final'!$Y$56="Alta",'Mapa final'!$AA$56="Mayor"),CONCATENATE("R9C",'Mapa final'!$O$56),"")</f>
        <v/>
      </c>
      <c r="AD24" s="52" t="str">
        <f>IF(AND('Mapa final'!$Y$57="Alta",'Mapa final'!$AA$57="Mayor"),CONCATENATE("R9C",'Mapa final'!$O$57),"")</f>
        <v/>
      </c>
      <c r="AE24" s="52" t="str">
        <f>IF(AND('Mapa final'!$Y$58="Alta",'Mapa final'!$AA$58="Mayor"),CONCATENATE("R9C",'Mapa final'!$O$58),"")</f>
        <v/>
      </c>
      <c r="AF24" s="52" t="str">
        <f>IF(AND('Mapa final'!$Y$59="Alta",'Mapa final'!$AA$59="Mayor"),CONCATENATE("R9C",'Mapa final'!$O$59),"")</f>
        <v/>
      </c>
      <c r="AG24" s="53" t="str">
        <f>IF(AND('Mapa final'!$Y$60="Alta",'Mapa final'!$AA$60="Mayor"),CONCATENATE("R9C",'Mapa final'!$O$60),"")</f>
        <v/>
      </c>
      <c r="AH24" s="54" t="str">
        <f>IF(AND('Mapa final'!$Y$55="Alta",'Mapa final'!$AA$55="Catastrófico"),CONCATENATE("R9C",'Mapa final'!$O$55),"")</f>
        <v/>
      </c>
      <c r="AI24" s="55" t="str">
        <f>IF(AND('Mapa final'!$Y$56="Alta",'Mapa final'!$AA$56="Catastrófico"),CONCATENATE("R9C",'Mapa final'!$O$56),"")</f>
        <v/>
      </c>
      <c r="AJ24" s="55" t="str">
        <f>IF(AND('Mapa final'!$Y$57="Alta",'Mapa final'!$AA$57="Catastrófico"),CONCATENATE("R9C",'Mapa final'!$O$57),"")</f>
        <v/>
      </c>
      <c r="AK24" s="55" t="str">
        <f>IF(AND('Mapa final'!$Y$58="Alta",'Mapa final'!$AA$58="Catastrófico"),CONCATENATE("R9C",'Mapa final'!$O$58),"")</f>
        <v/>
      </c>
      <c r="AL24" s="55" t="str">
        <f>IF(AND('Mapa final'!$Y$59="Alta",'Mapa final'!$AA$59="Catastrófico"),CONCATENATE("R9C",'Mapa final'!$O$59),"")</f>
        <v/>
      </c>
      <c r="AM24" s="56" t="str">
        <f>IF(AND('Mapa final'!$Y$60="Alta",'Mapa final'!$AA$60="Catastrófico"),CONCATENATE("R9C",'Mapa final'!$O$60),"")</f>
        <v/>
      </c>
      <c r="AN24" s="82"/>
      <c r="AO24" s="497"/>
      <c r="AP24" s="498"/>
      <c r="AQ24" s="498"/>
      <c r="AR24" s="498"/>
      <c r="AS24" s="498"/>
      <c r="AT24" s="499"/>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446"/>
      <c r="C25" s="446"/>
      <c r="D25" s="447"/>
      <c r="E25" s="490"/>
      <c r="F25" s="491"/>
      <c r="G25" s="491"/>
      <c r="H25" s="491"/>
      <c r="I25" s="491"/>
      <c r="J25" s="69" t="str">
        <f>IF(AND('Mapa final'!$Y$61="Alta",'Mapa final'!$AA$61="Leve"),CONCATENATE("R10C",'Mapa final'!$O$61),"")</f>
        <v/>
      </c>
      <c r="K25" s="70" t="str">
        <f>IF(AND('Mapa final'!$Y$62="Alta",'Mapa final'!$AA$62="Leve"),CONCATENATE("R10C",'Mapa final'!$O$62),"")</f>
        <v/>
      </c>
      <c r="L25" s="70" t="str">
        <f>IF(AND('Mapa final'!$Y$63="Alta",'Mapa final'!$AA$63="Leve"),CONCATENATE("R10C",'Mapa final'!$O$63),"")</f>
        <v/>
      </c>
      <c r="M25" s="70" t="str">
        <f>IF(AND('Mapa final'!$Y$64="Alta",'Mapa final'!$AA$64="Leve"),CONCATENATE("R10C",'Mapa final'!$O$64),"")</f>
        <v/>
      </c>
      <c r="N25" s="70" t="str">
        <f>IF(AND('Mapa final'!$Y$65="Alta",'Mapa final'!$AA$65="Leve"),CONCATENATE("R10C",'Mapa final'!$O$65),"")</f>
        <v/>
      </c>
      <c r="O25" s="71" t="str">
        <f>IF(AND('Mapa final'!$Y$66="Alta",'Mapa final'!$AA$66="Leve"),CONCATENATE("R10C",'Mapa final'!$O$66),"")</f>
        <v/>
      </c>
      <c r="P25" s="69" t="str">
        <f>IF(AND('Mapa final'!$Y$61="Alta",'Mapa final'!$AA$61="Menor"),CONCATENATE("R10C",'Mapa final'!$O$61),"")</f>
        <v/>
      </c>
      <c r="Q25" s="70" t="str">
        <f>IF(AND('Mapa final'!$Y$62="Alta",'Mapa final'!$AA$62="Menor"),CONCATENATE("R10C",'Mapa final'!$O$62),"")</f>
        <v/>
      </c>
      <c r="R25" s="70" t="str">
        <f>IF(AND('Mapa final'!$Y$63="Alta",'Mapa final'!$AA$63="Menor"),CONCATENATE("R10C",'Mapa final'!$O$63),"")</f>
        <v/>
      </c>
      <c r="S25" s="70" t="str">
        <f>IF(AND('Mapa final'!$Y$64="Alta",'Mapa final'!$AA$64="Menor"),CONCATENATE("R10C",'Mapa final'!$O$64),"")</f>
        <v/>
      </c>
      <c r="T25" s="70" t="str">
        <f>IF(AND('Mapa final'!$Y$65="Alta",'Mapa final'!$AA$65="Menor"),CONCATENATE("R10C",'Mapa final'!$O$65),"")</f>
        <v/>
      </c>
      <c r="U25" s="71" t="str">
        <f>IF(AND('Mapa final'!$Y$66="Alta",'Mapa final'!$AA$66="Menor"),CONCATENATE("R10C",'Mapa final'!$O$66),"")</f>
        <v/>
      </c>
      <c r="V25" s="57" t="str">
        <f>IF(AND('Mapa final'!$Y$61="Alta",'Mapa final'!$AA$61="Moderado"),CONCATENATE("R10C",'Mapa final'!$O$61),"")</f>
        <v/>
      </c>
      <c r="W25" s="58" t="str">
        <f>IF(AND('Mapa final'!$Y$62="Alta",'Mapa final'!$AA$62="Moderado"),CONCATENATE("R10C",'Mapa final'!$O$62),"")</f>
        <v/>
      </c>
      <c r="X25" s="58" t="str">
        <f>IF(AND('Mapa final'!$Y$63="Alta",'Mapa final'!$AA$63="Moderado"),CONCATENATE("R10C",'Mapa final'!$O$63),"")</f>
        <v/>
      </c>
      <c r="Y25" s="58" t="str">
        <f>IF(AND('Mapa final'!$Y$64="Alta",'Mapa final'!$AA$64="Moderado"),CONCATENATE("R10C",'Mapa final'!$O$64),"")</f>
        <v/>
      </c>
      <c r="Z25" s="58" t="str">
        <f>IF(AND('Mapa final'!$Y$65="Alta",'Mapa final'!$AA$65="Moderado"),CONCATENATE("R10C",'Mapa final'!$O$65),"")</f>
        <v/>
      </c>
      <c r="AA25" s="59" t="str">
        <f>IF(AND('Mapa final'!$Y$66="Alta",'Mapa final'!$AA$66="Moderado"),CONCATENATE("R10C",'Mapa final'!$O$66),"")</f>
        <v/>
      </c>
      <c r="AB25" s="57" t="str">
        <f>IF(AND('Mapa final'!$Y$61="Alta",'Mapa final'!$AA$61="Mayor"),CONCATENATE("R10C",'Mapa final'!$O$61),"")</f>
        <v/>
      </c>
      <c r="AC25" s="58" t="str">
        <f>IF(AND('Mapa final'!$Y$62="Alta",'Mapa final'!$AA$62="Mayor"),CONCATENATE("R10C",'Mapa final'!$O$62),"")</f>
        <v/>
      </c>
      <c r="AD25" s="58" t="str">
        <f>IF(AND('Mapa final'!$Y$63="Alta",'Mapa final'!$AA$63="Mayor"),CONCATENATE("R10C",'Mapa final'!$O$63),"")</f>
        <v/>
      </c>
      <c r="AE25" s="58" t="str">
        <f>IF(AND('Mapa final'!$Y$64="Alta",'Mapa final'!$AA$64="Mayor"),CONCATENATE("R10C",'Mapa final'!$O$64),"")</f>
        <v/>
      </c>
      <c r="AF25" s="58" t="str">
        <f>IF(AND('Mapa final'!$Y$65="Alta",'Mapa final'!$AA$65="Mayor"),CONCATENATE("R10C",'Mapa final'!$O$65),"")</f>
        <v/>
      </c>
      <c r="AG25" s="59" t="str">
        <f>IF(AND('Mapa final'!$Y$66="Alta",'Mapa final'!$AA$66="Mayor"),CONCATENATE("R10C",'Mapa final'!$O$66),"")</f>
        <v/>
      </c>
      <c r="AH25" s="60" t="str">
        <f>IF(AND('Mapa final'!$Y$61="Alta",'Mapa final'!$AA$61="Catastrófico"),CONCATENATE("R10C",'Mapa final'!$O$61),"")</f>
        <v/>
      </c>
      <c r="AI25" s="61" t="str">
        <f>IF(AND('Mapa final'!$Y$62="Alta",'Mapa final'!$AA$62="Catastrófico"),CONCATENATE("R10C",'Mapa final'!$O$62),"")</f>
        <v/>
      </c>
      <c r="AJ25" s="61" t="str">
        <f>IF(AND('Mapa final'!$Y$63="Alta",'Mapa final'!$AA$63="Catastrófico"),CONCATENATE("R10C",'Mapa final'!$O$63),"")</f>
        <v/>
      </c>
      <c r="AK25" s="61" t="str">
        <f>IF(AND('Mapa final'!$Y$64="Alta",'Mapa final'!$AA$64="Catastrófico"),CONCATENATE("R10C",'Mapa final'!$O$64),"")</f>
        <v/>
      </c>
      <c r="AL25" s="61" t="str">
        <f>IF(AND('Mapa final'!$Y$65="Alta",'Mapa final'!$AA$65="Catastrófico"),CONCATENATE("R10C",'Mapa final'!$O$65),"")</f>
        <v/>
      </c>
      <c r="AM25" s="62" t="str">
        <f>IF(AND('Mapa final'!$Y$66="Alta",'Mapa final'!$AA$66="Catastrófico"),CONCATENATE("R10C",'Mapa final'!$O$66),"")</f>
        <v/>
      </c>
      <c r="AN25" s="82"/>
      <c r="AO25" s="500"/>
      <c r="AP25" s="501"/>
      <c r="AQ25" s="501"/>
      <c r="AR25" s="501"/>
      <c r="AS25" s="501"/>
      <c r="AT25" s="50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446"/>
      <c r="C26" s="446"/>
      <c r="D26" s="447"/>
      <c r="E26" s="484" t="s">
        <v>116</v>
      </c>
      <c r="F26" s="485"/>
      <c r="G26" s="485"/>
      <c r="H26" s="485"/>
      <c r="I26" s="486"/>
      <c r="J26" s="63" t="str">
        <f ca="1">IF(AND('Mapa final'!$Y$10="Media",'Mapa final'!$AA$10="Leve"),CONCATENATE("R1C",'Mapa final'!$O$10),"")</f>
        <v/>
      </c>
      <c r="K26" s="64" t="str">
        <f>IF(AND('Mapa final'!$Y$11="Media",'Mapa final'!$AA$11="Leve"),CONCATENATE("R1C",'Mapa final'!$O$11),"")</f>
        <v/>
      </c>
      <c r="L26" s="64" t="str">
        <f>IF(AND('Mapa final'!$Y$12="Media",'Mapa final'!$AA$12="Leve"),CONCATENATE("R1C",'Mapa final'!$O$12),"")</f>
        <v/>
      </c>
      <c r="M26" s="64" t="str">
        <f>IF(AND('Mapa final'!$Y$13="Media",'Mapa final'!$AA$13="Leve"),CONCATENATE("R1C",'Mapa final'!$O$13),"")</f>
        <v/>
      </c>
      <c r="N26" s="64" t="str">
        <f>IF(AND('Mapa final'!$Y$14="Media",'Mapa final'!$AA$14="Leve"),CONCATENATE("R1C",'Mapa final'!$O$14),"")</f>
        <v/>
      </c>
      <c r="O26" s="65" t="str">
        <f>IF(AND('Mapa final'!$Y$15="Media",'Mapa final'!$AA$15="Leve"),CONCATENATE("R1C",'Mapa final'!$O$15),"")</f>
        <v/>
      </c>
      <c r="P26" s="63" t="str">
        <f ca="1">IF(AND('Mapa final'!$Y$10="Media",'Mapa final'!$AA$10="Menor"),CONCATENATE("R1C",'Mapa final'!$O$10),"")</f>
        <v/>
      </c>
      <c r="Q26" s="64" t="str">
        <f>IF(AND('Mapa final'!$Y$11="Media",'Mapa final'!$AA$11="Menor"),CONCATENATE("R1C",'Mapa final'!$O$11),"")</f>
        <v/>
      </c>
      <c r="R26" s="64" t="str">
        <f>IF(AND('Mapa final'!$Y$12="Media",'Mapa final'!$AA$12="Menor"),CONCATENATE("R1C",'Mapa final'!$O$12),"")</f>
        <v/>
      </c>
      <c r="S26" s="64" t="str">
        <f>IF(AND('Mapa final'!$Y$13="Media",'Mapa final'!$AA$13="Menor"),CONCATENATE("R1C",'Mapa final'!$O$13),"")</f>
        <v/>
      </c>
      <c r="T26" s="64" t="str">
        <f>IF(AND('Mapa final'!$Y$14="Media",'Mapa final'!$AA$14="Menor"),CONCATENATE("R1C",'Mapa final'!$O$14),"")</f>
        <v/>
      </c>
      <c r="U26" s="65" t="str">
        <f>IF(AND('Mapa final'!$Y$15="Media",'Mapa final'!$AA$15="Menor"),CONCATENATE("R1C",'Mapa final'!$O$15),"")</f>
        <v/>
      </c>
      <c r="V26" s="63" t="str">
        <f ca="1">IF(AND('Mapa final'!$Y$10="Media",'Mapa final'!$AA$10="Moderado"),CONCATENATE("R1C",'Mapa final'!$O$10),"")</f>
        <v/>
      </c>
      <c r="W26" s="64" t="str">
        <f>IF(AND('Mapa final'!$Y$11="Media",'Mapa final'!$AA$11="Moderado"),CONCATENATE("R1C",'Mapa final'!$O$11),"")</f>
        <v/>
      </c>
      <c r="X26" s="64" t="str">
        <f>IF(AND('Mapa final'!$Y$12="Media",'Mapa final'!$AA$12="Moderado"),CONCATENATE("R1C",'Mapa final'!$O$12),"")</f>
        <v/>
      </c>
      <c r="Y26" s="64" t="str">
        <f>IF(AND('Mapa final'!$Y$13="Media",'Mapa final'!$AA$13="Moderado"),CONCATENATE("R1C",'Mapa final'!$O$13),"")</f>
        <v/>
      </c>
      <c r="Z26" s="64" t="str">
        <f>IF(AND('Mapa final'!$Y$14="Media",'Mapa final'!$AA$14="Moderado"),CONCATENATE("R1C",'Mapa final'!$O$14),"")</f>
        <v/>
      </c>
      <c r="AA26" s="65" t="str">
        <f>IF(AND('Mapa final'!$Y$15="Media",'Mapa final'!$AA$15="Moderado"),CONCATENATE("R1C",'Mapa final'!$O$15),"")</f>
        <v/>
      </c>
      <c r="AB26" s="45" t="str">
        <f ca="1">IF(AND('Mapa final'!$Y$10="Media",'Mapa final'!$AA$10="Mayor"),CONCATENATE("R1C",'Mapa final'!$O$10),"")</f>
        <v/>
      </c>
      <c r="AC26" s="46" t="str">
        <f>IF(AND('Mapa final'!$Y$11="Media",'Mapa final'!$AA$11="Mayor"),CONCATENATE("R1C",'Mapa final'!$O$11),"")</f>
        <v/>
      </c>
      <c r="AD26" s="46" t="str">
        <f>IF(AND('Mapa final'!$Y$12="Media",'Mapa final'!$AA$12="Mayor"),CONCATENATE("R1C",'Mapa final'!$O$12),"")</f>
        <v/>
      </c>
      <c r="AE26" s="46" t="str">
        <f>IF(AND('Mapa final'!$Y$13="Media",'Mapa final'!$AA$13="Mayor"),CONCATENATE("R1C",'Mapa final'!$O$13),"")</f>
        <v/>
      </c>
      <c r="AF26" s="46" t="str">
        <f>IF(AND('Mapa final'!$Y$14="Media",'Mapa final'!$AA$14="Mayor"),CONCATENATE("R1C",'Mapa final'!$O$14),"")</f>
        <v/>
      </c>
      <c r="AG26" s="47" t="str">
        <f>IF(AND('Mapa final'!$Y$15="Media",'Mapa final'!$AA$15="Mayor"),CONCATENATE("R1C",'Mapa final'!$O$15),"")</f>
        <v/>
      </c>
      <c r="AH26" s="48" t="str">
        <f ca="1">IF(AND('Mapa final'!$Y$10="Media",'Mapa final'!$AA$10="Catastrófico"),CONCATENATE("R1C",'Mapa final'!$O$10),"")</f>
        <v/>
      </c>
      <c r="AI26" s="49" t="str">
        <f>IF(AND('Mapa final'!$Y$11="Media",'Mapa final'!$AA$11="Catastrófico"),CONCATENATE("R1C",'Mapa final'!$O$11),"")</f>
        <v/>
      </c>
      <c r="AJ26" s="49" t="str">
        <f>IF(AND('Mapa final'!$Y$12="Media",'Mapa final'!$AA$12="Catastrófico"),CONCATENATE("R1C",'Mapa final'!$O$12),"")</f>
        <v/>
      </c>
      <c r="AK26" s="49" t="str">
        <f>IF(AND('Mapa final'!$Y$13="Media",'Mapa final'!$AA$13="Catastrófico"),CONCATENATE("R1C",'Mapa final'!$O$13),"")</f>
        <v/>
      </c>
      <c r="AL26" s="49" t="str">
        <f>IF(AND('Mapa final'!$Y$14="Media",'Mapa final'!$AA$14="Catastrófico"),CONCATENATE("R1C",'Mapa final'!$O$14),"")</f>
        <v/>
      </c>
      <c r="AM26" s="50" t="str">
        <f>IF(AND('Mapa final'!$Y$15="Media",'Mapa final'!$AA$15="Catastrófico"),CONCATENATE("R1C",'Mapa final'!$O$15),"")</f>
        <v/>
      </c>
      <c r="AN26" s="82"/>
      <c r="AO26" s="524" t="s">
        <v>80</v>
      </c>
      <c r="AP26" s="525"/>
      <c r="AQ26" s="525"/>
      <c r="AR26" s="525"/>
      <c r="AS26" s="525"/>
      <c r="AT26" s="526"/>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446"/>
      <c r="C27" s="446"/>
      <c r="D27" s="447"/>
      <c r="E27" s="503"/>
      <c r="F27" s="488"/>
      <c r="G27" s="488"/>
      <c r="H27" s="488"/>
      <c r="I27" s="489"/>
      <c r="J27" s="66" t="str">
        <f ca="1">IF(AND('Mapa final'!$Y$16="Media",'Mapa final'!$AA$16="Leve"),CONCATENATE("R2C",'Mapa final'!$O$16),"")</f>
        <v/>
      </c>
      <c r="K27" s="67" t="str">
        <f>IF(AND('Mapa final'!$Y$17="Media",'Mapa final'!$AA$17="Leve"),CONCATENATE("R2C",'Mapa final'!$O$17),"")</f>
        <v/>
      </c>
      <c r="L27" s="67" t="str">
        <f>IF(AND('Mapa final'!$Y$18="Media",'Mapa final'!$AA$18="Leve"),CONCATENATE("R2C",'Mapa final'!$O$18),"")</f>
        <v/>
      </c>
      <c r="M27" s="67" t="str">
        <f>IF(AND('Mapa final'!$Y$19="Media",'Mapa final'!$AA$19="Leve"),CONCATENATE("R2C",'Mapa final'!$O$19),"")</f>
        <v/>
      </c>
      <c r="N27" s="67" t="str">
        <f>IF(AND('Mapa final'!$Y$20="Media",'Mapa final'!$AA$20="Leve"),CONCATENATE("R2C",'Mapa final'!$O$20),"")</f>
        <v/>
      </c>
      <c r="O27" s="68" t="str">
        <f>IF(AND('Mapa final'!$Y$21="Media",'Mapa final'!$AA$21="Leve"),CONCATENATE("R2C",'Mapa final'!$O$21),"")</f>
        <v/>
      </c>
      <c r="P27" s="66" t="str">
        <f ca="1">IF(AND('Mapa final'!$Y$16="Media",'Mapa final'!$AA$16="Menor"),CONCATENATE("R2C",'Mapa final'!$O$16),"")</f>
        <v/>
      </c>
      <c r="Q27" s="67" t="str">
        <f>IF(AND('Mapa final'!$Y$17="Media",'Mapa final'!$AA$17="Menor"),CONCATENATE("R2C",'Mapa final'!$O$17),"")</f>
        <v/>
      </c>
      <c r="R27" s="67" t="str">
        <f>IF(AND('Mapa final'!$Y$18="Media",'Mapa final'!$AA$18="Menor"),CONCATENATE("R2C",'Mapa final'!$O$18),"")</f>
        <v/>
      </c>
      <c r="S27" s="67" t="str">
        <f>IF(AND('Mapa final'!$Y$19="Media",'Mapa final'!$AA$19="Menor"),CONCATENATE("R2C",'Mapa final'!$O$19),"")</f>
        <v/>
      </c>
      <c r="T27" s="67" t="str">
        <f>IF(AND('Mapa final'!$Y$20="Media",'Mapa final'!$AA$20="Menor"),CONCATENATE("R2C",'Mapa final'!$O$20),"")</f>
        <v/>
      </c>
      <c r="U27" s="68" t="str">
        <f>IF(AND('Mapa final'!$Y$21="Media",'Mapa final'!$AA$21="Menor"),CONCATENATE("R2C",'Mapa final'!$O$21),"")</f>
        <v/>
      </c>
      <c r="V27" s="66" t="str">
        <f ca="1">IF(AND('Mapa final'!$Y$16="Media",'Mapa final'!$AA$16="Moderado"),CONCATENATE("R2C",'Mapa final'!$O$16),"")</f>
        <v/>
      </c>
      <c r="W27" s="67" t="str">
        <f>IF(AND('Mapa final'!$Y$17="Media",'Mapa final'!$AA$17="Moderado"),CONCATENATE("R2C",'Mapa final'!$O$17),"")</f>
        <v/>
      </c>
      <c r="X27" s="67" t="str">
        <f>IF(AND('Mapa final'!$Y$18="Media",'Mapa final'!$AA$18="Moderado"),CONCATENATE("R2C",'Mapa final'!$O$18),"")</f>
        <v/>
      </c>
      <c r="Y27" s="67" t="str">
        <f>IF(AND('Mapa final'!$Y$19="Media",'Mapa final'!$AA$19="Moderado"),CONCATENATE("R2C",'Mapa final'!$O$19),"")</f>
        <v/>
      </c>
      <c r="Z27" s="67" t="str">
        <f>IF(AND('Mapa final'!$Y$20="Media",'Mapa final'!$AA$20="Moderado"),CONCATENATE("R2C",'Mapa final'!$O$20),"")</f>
        <v/>
      </c>
      <c r="AA27" s="68" t="str">
        <f>IF(AND('Mapa final'!$Y$21="Media",'Mapa final'!$AA$21="Moderado"),CONCATENATE("R2C",'Mapa final'!$O$21),"")</f>
        <v/>
      </c>
      <c r="AB27" s="51" t="str">
        <f ca="1">IF(AND('Mapa final'!$Y$16="Media",'Mapa final'!$AA$16="Mayor"),CONCATENATE("R2C",'Mapa final'!$O$16),"")</f>
        <v/>
      </c>
      <c r="AC27" s="52" t="str">
        <f>IF(AND('Mapa final'!$Y$17="Media",'Mapa final'!$AA$17="Mayor"),CONCATENATE("R2C",'Mapa final'!$O$17),"")</f>
        <v/>
      </c>
      <c r="AD27" s="52" t="str">
        <f>IF(AND('Mapa final'!$Y$18="Media",'Mapa final'!$AA$18="Mayor"),CONCATENATE("R2C",'Mapa final'!$O$18),"")</f>
        <v/>
      </c>
      <c r="AE27" s="52" t="str">
        <f>IF(AND('Mapa final'!$Y$19="Media",'Mapa final'!$AA$19="Mayor"),CONCATENATE("R2C",'Mapa final'!$O$19),"")</f>
        <v/>
      </c>
      <c r="AF27" s="52" t="str">
        <f>IF(AND('Mapa final'!$Y$20="Media",'Mapa final'!$AA$20="Mayor"),CONCATENATE("R2C",'Mapa final'!$O$20),"")</f>
        <v/>
      </c>
      <c r="AG27" s="53" t="str">
        <f>IF(AND('Mapa final'!$Y$21="Media",'Mapa final'!$AA$21="Mayor"),CONCATENATE("R2C",'Mapa final'!$O$21),"")</f>
        <v/>
      </c>
      <c r="AH27" s="54" t="str">
        <f ca="1">IF(AND('Mapa final'!$Y$16="Media",'Mapa final'!$AA$16="Catastrófico"),CONCATENATE("R2C",'Mapa final'!$O$16),"")</f>
        <v/>
      </c>
      <c r="AI27" s="55" t="str">
        <f>IF(AND('Mapa final'!$Y$17="Media",'Mapa final'!$AA$17="Catastrófico"),CONCATENATE("R2C",'Mapa final'!$O$17),"")</f>
        <v/>
      </c>
      <c r="AJ27" s="55" t="str">
        <f>IF(AND('Mapa final'!$Y$18="Media",'Mapa final'!$AA$18="Catastrófico"),CONCATENATE("R2C",'Mapa final'!$O$18),"")</f>
        <v/>
      </c>
      <c r="AK27" s="55" t="str">
        <f>IF(AND('Mapa final'!$Y$19="Media",'Mapa final'!$AA$19="Catastrófico"),CONCATENATE("R2C",'Mapa final'!$O$19),"")</f>
        <v/>
      </c>
      <c r="AL27" s="55" t="str">
        <f>IF(AND('Mapa final'!$Y$20="Media",'Mapa final'!$AA$20="Catastrófico"),CONCATENATE("R2C",'Mapa final'!$O$20),"")</f>
        <v/>
      </c>
      <c r="AM27" s="56" t="str">
        <f>IF(AND('Mapa final'!$Y$21="Media",'Mapa final'!$AA$21="Catastrófico"),CONCATENATE("R2C",'Mapa final'!$O$21),"")</f>
        <v/>
      </c>
      <c r="AN27" s="82"/>
      <c r="AO27" s="527"/>
      <c r="AP27" s="528"/>
      <c r="AQ27" s="528"/>
      <c r="AR27" s="528"/>
      <c r="AS27" s="528"/>
      <c r="AT27" s="529"/>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446"/>
      <c r="C28" s="446"/>
      <c r="D28" s="447"/>
      <c r="E28" s="487"/>
      <c r="F28" s="488"/>
      <c r="G28" s="488"/>
      <c r="H28" s="488"/>
      <c r="I28" s="489"/>
      <c r="J28" s="66" t="str">
        <f ca="1">IF(AND('Mapa final'!$Y$22="Media",'Mapa final'!$AA$22="Leve"),CONCATENATE("R3C",'Mapa final'!$O$22),"")</f>
        <v/>
      </c>
      <c r="K28" s="67" t="str">
        <f>IF(AND('Mapa final'!$Y$23="Media",'Mapa final'!$AA$23="Leve"),CONCATENATE("R3C",'Mapa final'!$O$23),"")</f>
        <v/>
      </c>
      <c r="L28" s="67" t="str">
        <f>IF(AND('Mapa final'!$Y$24="Media",'Mapa final'!$AA$24="Leve"),CONCATENATE("R3C",'Mapa final'!$O$24),"")</f>
        <v/>
      </c>
      <c r="M28" s="67" t="str">
        <f>IF(AND('Mapa final'!$Y$25="Media",'Mapa final'!$AA$25="Leve"),CONCATENATE("R3C",'Mapa final'!$O$25),"")</f>
        <v/>
      </c>
      <c r="N28" s="67" t="str">
        <f>IF(AND('Mapa final'!$Y$26="Media",'Mapa final'!$AA$26="Leve"),CONCATENATE("R3C",'Mapa final'!$O$26),"")</f>
        <v/>
      </c>
      <c r="O28" s="68" t="str">
        <f>IF(AND('Mapa final'!$Y$27="Media",'Mapa final'!$AA$27="Leve"),CONCATENATE("R3C",'Mapa final'!$O$27),"")</f>
        <v/>
      </c>
      <c r="P28" s="66" t="str">
        <f ca="1">IF(AND('Mapa final'!$Y$22="Media",'Mapa final'!$AA$22="Menor"),CONCATENATE("R3C",'Mapa final'!$O$22),"")</f>
        <v/>
      </c>
      <c r="Q28" s="67" t="str">
        <f>IF(AND('Mapa final'!$Y$23="Media",'Mapa final'!$AA$23="Menor"),CONCATENATE("R3C",'Mapa final'!$O$23),"")</f>
        <v/>
      </c>
      <c r="R28" s="67" t="str">
        <f>IF(AND('Mapa final'!$Y$24="Media",'Mapa final'!$AA$24="Menor"),CONCATENATE("R3C",'Mapa final'!$O$24),"")</f>
        <v/>
      </c>
      <c r="S28" s="67" t="str">
        <f>IF(AND('Mapa final'!$Y$25="Media",'Mapa final'!$AA$25="Menor"),CONCATENATE("R3C",'Mapa final'!$O$25),"")</f>
        <v/>
      </c>
      <c r="T28" s="67" t="str">
        <f>IF(AND('Mapa final'!$Y$26="Media",'Mapa final'!$AA$26="Menor"),CONCATENATE("R3C",'Mapa final'!$O$26),"")</f>
        <v/>
      </c>
      <c r="U28" s="68" t="str">
        <f>IF(AND('Mapa final'!$Y$27="Media",'Mapa final'!$AA$27="Menor"),CONCATENATE("R3C",'Mapa final'!$O$27),"")</f>
        <v/>
      </c>
      <c r="V28" s="66" t="str">
        <f ca="1">IF(AND('Mapa final'!$Y$22="Media",'Mapa final'!$AA$22="Moderado"),CONCATENATE("R3C",'Mapa final'!$O$22),"")</f>
        <v>R3C1</v>
      </c>
      <c r="W28" s="67" t="str">
        <f>IF(AND('Mapa final'!$Y$23="Media",'Mapa final'!$AA$23="Moderado"),CONCATENATE("R3C",'Mapa final'!$O$23),"")</f>
        <v/>
      </c>
      <c r="X28" s="67" t="str">
        <f>IF(AND('Mapa final'!$Y$24="Media",'Mapa final'!$AA$24="Moderado"),CONCATENATE("R3C",'Mapa final'!$O$24),"")</f>
        <v/>
      </c>
      <c r="Y28" s="67" t="str">
        <f>IF(AND('Mapa final'!$Y$25="Media",'Mapa final'!$AA$25="Moderado"),CONCATENATE("R3C",'Mapa final'!$O$25),"")</f>
        <v/>
      </c>
      <c r="Z28" s="67" t="str">
        <f>IF(AND('Mapa final'!$Y$26="Media",'Mapa final'!$AA$26="Moderado"),CONCATENATE("R3C",'Mapa final'!$O$26),"")</f>
        <v/>
      </c>
      <c r="AA28" s="68" t="str">
        <f>IF(AND('Mapa final'!$Y$27="Media",'Mapa final'!$AA$27="Moderado"),CONCATENATE("R3C",'Mapa final'!$O$27),"")</f>
        <v/>
      </c>
      <c r="AB28" s="51" t="str">
        <f ca="1">IF(AND('Mapa final'!$Y$22="Media",'Mapa final'!$AA$22="Mayor"),CONCATENATE("R3C",'Mapa final'!$O$22),"")</f>
        <v/>
      </c>
      <c r="AC28" s="52" t="str">
        <f>IF(AND('Mapa final'!$Y$23="Media",'Mapa final'!$AA$23="Mayor"),CONCATENATE("R3C",'Mapa final'!$O$23),"")</f>
        <v/>
      </c>
      <c r="AD28" s="52" t="str">
        <f>IF(AND('Mapa final'!$Y$24="Media",'Mapa final'!$AA$24="Mayor"),CONCATENATE("R3C",'Mapa final'!$O$24),"")</f>
        <v/>
      </c>
      <c r="AE28" s="52" t="str">
        <f>IF(AND('Mapa final'!$Y$25="Media",'Mapa final'!$AA$25="Mayor"),CONCATENATE("R3C",'Mapa final'!$O$25),"")</f>
        <v/>
      </c>
      <c r="AF28" s="52" t="str">
        <f>IF(AND('Mapa final'!$Y$26="Media",'Mapa final'!$AA$26="Mayor"),CONCATENATE("R3C",'Mapa final'!$O$26),"")</f>
        <v/>
      </c>
      <c r="AG28" s="53" t="str">
        <f>IF(AND('Mapa final'!$Y$27="Media",'Mapa final'!$AA$27="Mayor"),CONCATENATE("R3C",'Mapa final'!$O$27),"")</f>
        <v/>
      </c>
      <c r="AH28" s="54" t="str">
        <f ca="1">IF(AND('Mapa final'!$Y$22="Media",'Mapa final'!$AA$22="Catastrófico"),CONCATENATE("R3C",'Mapa final'!$O$22),"")</f>
        <v/>
      </c>
      <c r="AI28" s="55" t="str">
        <f>IF(AND('Mapa final'!$Y$23="Media",'Mapa final'!$AA$23="Catastrófico"),CONCATENATE("R3C",'Mapa final'!$O$23),"")</f>
        <v/>
      </c>
      <c r="AJ28" s="55" t="str">
        <f>IF(AND('Mapa final'!$Y$24="Media",'Mapa final'!$AA$24="Catastrófico"),CONCATENATE("R3C",'Mapa final'!$O$24),"")</f>
        <v/>
      </c>
      <c r="AK28" s="55" t="str">
        <f>IF(AND('Mapa final'!$Y$25="Media",'Mapa final'!$AA$25="Catastrófico"),CONCATENATE("R3C",'Mapa final'!$O$25),"")</f>
        <v/>
      </c>
      <c r="AL28" s="55" t="str">
        <f>IF(AND('Mapa final'!$Y$26="Media",'Mapa final'!$AA$26="Catastrófico"),CONCATENATE("R3C",'Mapa final'!$O$26),"")</f>
        <v/>
      </c>
      <c r="AM28" s="56" t="str">
        <f>IF(AND('Mapa final'!$Y$27="Media",'Mapa final'!$AA$27="Catastrófico"),CONCATENATE("R3C",'Mapa final'!$O$27),"")</f>
        <v/>
      </c>
      <c r="AN28" s="82"/>
      <c r="AO28" s="527"/>
      <c r="AP28" s="528"/>
      <c r="AQ28" s="528"/>
      <c r="AR28" s="528"/>
      <c r="AS28" s="528"/>
      <c r="AT28" s="529"/>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446"/>
      <c r="C29" s="446"/>
      <c r="D29" s="447"/>
      <c r="E29" s="487"/>
      <c r="F29" s="488"/>
      <c r="G29" s="488"/>
      <c r="H29" s="488"/>
      <c r="I29" s="489"/>
      <c r="J29" s="66" t="str">
        <f ca="1">IF(AND('Mapa final'!$Y$28="Media",'Mapa final'!$AA$28="Leve"),CONCATENATE("R4C",'Mapa final'!$O$28),"")</f>
        <v/>
      </c>
      <c r="K29" s="67" t="str">
        <f>IF(AND('Mapa final'!$Y$29="Media",'Mapa final'!$AA$29="Leve"),CONCATENATE("R4C",'Mapa final'!$O$29),"")</f>
        <v/>
      </c>
      <c r="L29" s="67" t="str">
        <f>IF(AND('Mapa final'!$Y$30="Media",'Mapa final'!$AA$30="Leve"),CONCATENATE("R4C",'Mapa final'!$O$30),"")</f>
        <v/>
      </c>
      <c r="M29" s="67" t="str">
        <f>IF(AND('Mapa final'!$Y$31="Media",'Mapa final'!$AA$31="Leve"),CONCATENATE("R4C",'Mapa final'!$O$31),"")</f>
        <v/>
      </c>
      <c r="N29" s="67" t="str">
        <f>IF(AND('Mapa final'!$Y$32="Media",'Mapa final'!$AA$32="Leve"),CONCATENATE("R4C",'Mapa final'!$O$32),"")</f>
        <v/>
      </c>
      <c r="O29" s="68" t="str">
        <f>IF(AND('Mapa final'!$Y$33="Media",'Mapa final'!$AA$33="Leve"),CONCATENATE("R4C",'Mapa final'!$O$33),"")</f>
        <v/>
      </c>
      <c r="P29" s="66" t="str">
        <f ca="1">IF(AND('Mapa final'!$Y$28="Media",'Mapa final'!$AA$28="Menor"),CONCATENATE("R4C",'Mapa final'!$O$28),"")</f>
        <v>R4C1</v>
      </c>
      <c r="Q29" s="67" t="str">
        <f>IF(AND('Mapa final'!$Y$29="Media",'Mapa final'!$AA$29="Menor"),CONCATENATE("R4C",'Mapa final'!$O$29),"")</f>
        <v/>
      </c>
      <c r="R29" s="67" t="str">
        <f>IF(AND('Mapa final'!$Y$30="Media",'Mapa final'!$AA$30="Menor"),CONCATENATE("R4C",'Mapa final'!$O$30),"")</f>
        <v/>
      </c>
      <c r="S29" s="67" t="str">
        <f>IF(AND('Mapa final'!$Y$31="Media",'Mapa final'!$AA$31="Menor"),CONCATENATE("R4C",'Mapa final'!$O$31),"")</f>
        <v/>
      </c>
      <c r="T29" s="67" t="str">
        <f>IF(AND('Mapa final'!$Y$32="Media",'Mapa final'!$AA$32="Menor"),CONCATENATE("R4C",'Mapa final'!$O$32),"")</f>
        <v/>
      </c>
      <c r="U29" s="68" t="str">
        <f>IF(AND('Mapa final'!$Y$33="Media",'Mapa final'!$AA$33="Menor"),CONCATENATE("R4C",'Mapa final'!$O$33),"")</f>
        <v/>
      </c>
      <c r="V29" s="66" t="str">
        <f ca="1">IF(AND('Mapa final'!$Y$28="Media",'Mapa final'!$AA$28="Moderado"),CONCATENATE("R4C",'Mapa final'!$O$28),"")</f>
        <v/>
      </c>
      <c r="W29" s="67" t="str">
        <f>IF(AND('Mapa final'!$Y$29="Media",'Mapa final'!$AA$29="Moderado"),CONCATENATE("R4C",'Mapa final'!$O$29),"")</f>
        <v/>
      </c>
      <c r="X29" s="67" t="str">
        <f>IF(AND('Mapa final'!$Y$30="Media",'Mapa final'!$AA$30="Moderado"),CONCATENATE("R4C",'Mapa final'!$O$30),"")</f>
        <v/>
      </c>
      <c r="Y29" s="67" t="str">
        <f>IF(AND('Mapa final'!$Y$31="Media",'Mapa final'!$AA$31="Moderado"),CONCATENATE("R4C",'Mapa final'!$O$31),"")</f>
        <v/>
      </c>
      <c r="Z29" s="67" t="str">
        <f>IF(AND('Mapa final'!$Y$32="Media",'Mapa final'!$AA$32="Moderado"),CONCATENATE("R4C",'Mapa final'!$O$32),"")</f>
        <v/>
      </c>
      <c r="AA29" s="68" t="str">
        <f>IF(AND('Mapa final'!$Y$33="Media",'Mapa final'!$AA$33="Moderado"),CONCATENATE("R4C",'Mapa final'!$O$33),"")</f>
        <v/>
      </c>
      <c r="AB29" s="51" t="str">
        <f ca="1">IF(AND('Mapa final'!$Y$28="Media",'Mapa final'!$AA$28="Mayor"),CONCATENATE("R4C",'Mapa final'!$O$28),"")</f>
        <v/>
      </c>
      <c r="AC29" s="52" t="str">
        <f>IF(AND('Mapa final'!$Y$29="Media",'Mapa final'!$AA$29="Mayor"),CONCATENATE("R4C",'Mapa final'!$O$29),"")</f>
        <v/>
      </c>
      <c r="AD29" s="52" t="str">
        <f>IF(AND('Mapa final'!$Y$30="Media",'Mapa final'!$AA$30="Mayor"),CONCATENATE("R4C",'Mapa final'!$O$30),"")</f>
        <v/>
      </c>
      <c r="AE29" s="52" t="str">
        <f>IF(AND('Mapa final'!$Y$31="Media",'Mapa final'!$AA$31="Mayor"),CONCATENATE("R4C",'Mapa final'!$O$31),"")</f>
        <v/>
      </c>
      <c r="AF29" s="52" t="str">
        <f>IF(AND('Mapa final'!$Y$32="Media",'Mapa final'!$AA$32="Mayor"),CONCATENATE("R4C",'Mapa final'!$O$32),"")</f>
        <v/>
      </c>
      <c r="AG29" s="53" t="str">
        <f>IF(AND('Mapa final'!$Y$33="Media",'Mapa final'!$AA$33="Mayor"),CONCATENATE("R4C",'Mapa final'!$O$33),"")</f>
        <v/>
      </c>
      <c r="AH29" s="54" t="str">
        <f ca="1">IF(AND('Mapa final'!$Y$28="Media",'Mapa final'!$AA$28="Catastrófico"),CONCATENATE("R4C",'Mapa final'!$O$28),"")</f>
        <v/>
      </c>
      <c r="AI29" s="55" t="str">
        <f>IF(AND('Mapa final'!$Y$29="Media",'Mapa final'!$AA$29="Catastrófico"),CONCATENATE("R4C",'Mapa final'!$O$29),"")</f>
        <v/>
      </c>
      <c r="AJ29" s="55" t="str">
        <f>IF(AND('Mapa final'!$Y$30="Media",'Mapa final'!$AA$30="Catastrófico"),CONCATENATE("R4C",'Mapa final'!$O$30),"")</f>
        <v/>
      </c>
      <c r="AK29" s="55" t="str">
        <f>IF(AND('Mapa final'!$Y$31="Media",'Mapa final'!$AA$31="Catastrófico"),CONCATENATE("R4C",'Mapa final'!$O$31),"")</f>
        <v/>
      </c>
      <c r="AL29" s="55" t="str">
        <f>IF(AND('Mapa final'!$Y$32="Media",'Mapa final'!$AA$32="Catastrófico"),CONCATENATE("R4C",'Mapa final'!$O$32),"")</f>
        <v/>
      </c>
      <c r="AM29" s="56" t="str">
        <f>IF(AND('Mapa final'!$Y$33="Media",'Mapa final'!$AA$33="Catastrófico"),CONCATENATE("R4C",'Mapa final'!$O$33),"")</f>
        <v/>
      </c>
      <c r="AN29" s="82"/>
      <c r="AO29" s="527"/>
      <c r="AP29" s="528"/>
      <c r="AQ29" s="528"/>
      <c r="AR29" s="528"/>
      <c r="AS29" s="528"/>
      <c r="AT29" s="529"/>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446"/>
      <c r="C30" s="446"/>
      <c r="D30" s="447"/>
      <c r="E30" s="487"/>
      <c r="F30" s="488"/>
      <c r="G30" s="488"/>
      <c r="H30" s="488"/>
      <c r="I30" s="489"/>
      <c r="J30" s="66" t="str">
        <f ca="1">IF(AND('Mapa final'!$Y$34="Media",'Mapa final'!$AA$34="Leve"),CONCATENATE("R5C",'Mapa final'!$O$34),"")</f>
        <v/>
      </c>
      <c r="K30" s="67" t="e">
        <f>IF(AND('Mapa final'!#REF!="Media",'Mapa final'!#REF!="Leve"),CONCATENATE("R5C",'Mapa final'!#REF!),"")</f>
        <v>#REF!</v>
      </c>
      <c r="L30" s="67" t="e">
        <f>IF(AND('Mapa final'!#REF!="Media",'Mapa final'!#REF!="Leve"),CONCATENATE("R5C",'Mapa final'!#REF!),"")</f>
        <v>#REF!</v>
      </c>
      <c r="M30" s="67" t="e">
        <f>IF(AND('Mapa final'!#REF!="Media",'Mapa final'!#REF!="Leve"),CONCATENATE("R5C",'Mapa final'!#REF!),"")</f>
        <v>#REF!</v>
      </c>
      <c r="N30" s="67" t="str">
        <f>IF(AND('Mapa final'!$Y$35="Media",'Mapa final'!$AA$35="Leve"),CONCATENATE("R5C",'Mapa final'!$O$35),"")</f>
        <v/>
      </c>
      <c r="O30" s="68" t="str">
        <f>IF(AND('Mapa final'!$Y$36="Media",'Mapa final'!$AA$36="Leve"),CONCATENATE("R5C",'Mapa final'!$O$36),"")</f>
        <v/>
      </c>
      <c r="P30" s="66" t="str">
        <f ca="1">IF(AND('Mapa final'!$Y$34="Media",'Mapa final'!$AA$34="Menor"),CONCATENATE("R5C",'Mapa final'!$O$34),"")</f>
        <v/>
      </c>
      <c r="Q30" s="67" t="e">
        <f>IF(AND('Mapa final'!#REF!="Media",'Mapa final'!#REF!="Menor"),CONCATENATE("R5C",'Mapa final'!#REF!),"")</f>
        <v>#REF!</v>
      </c>
      <c r="R30" s="67" t="e">
        <f>IF(AND('Mapa final'!#REF!="Media",'Mapa final'!#REF!="Menor"),CONCATENATE("R5C",'Mapa final'!#REF!),"")</f>
        <v>#REF!</v>
      </c>
      <c r="S30" s="67" t="e">
        <f>IF(AND('Mapa final'!#REF!="Media",'Mapa final'!#REF!="Menor"),CONCATENATE("R5C",'Mapa final'!#REF!),"")</f>
        <v>#REF!</v>
      </c>
      <c r="T30" s="67" t="str">
        <f>IF(AND('Mapa final'!$Y$35="Media",'Mapa final'!$AA$35="Menor"),CONCATENATE("R5C",'Mapa final'!$O$35),"")</f>
        <v/>
      </c>
      <c r="U30" s="68" t="str">
        <f>IF(AND('Mapa final'!$Y$36="Media",'Mapa final'!$AA$36="Menor"),CONCATENATE("R5C",'Mapa final'!$O$36),"")</f>
        <v/>
      </c>
      <c r="V30" s="66" t="str">
        <f ca="1">IF(AND('Mapa final'!$Y$34="Media",'Mapa final'!$AA$34="Moderado"),CONCATENATE("R5C",'Mapa final'!$O$34),"")</f>
        <v/>
      </c>
      <c r="W30" s="67" t="e">
        <f>IF(AND('Mapa final'!#REF!="Media",'Mapa final'!#REF!="Moderado"),CONCATENATE("R5C",'Mapa final'!#REF!),"")</f>
        <v>#REF!</v>
      </c>
      <c r="X30" s="67" t="e">
        <f>IF(AND('Mapa final'!#REF!="Media",'Mapa final'!#REF!="Moderado"),CONCATENATE("R5C",'Mapa final'!#REF!),"")</f>
        <v>#REF!</v>
      </c>
      <c r="Y30" s="67" t="e">
        <f>IF(AND('Mapa final'!#REF!="Media",'Mapa final'!#REF!="Moderado"),CONCATENATE("R5C",'Mapa final'!#REF!),"")</f>
        <v>#REF!</v>
      </c>
      <c r="Z30" s="67" t="str">
        <f>IF(AND('Mapa final'!$Y$35="Media",'Mapa final'!$AA$35="Moderado"),CONCATENATE("R5C",'Mapa final'!$O$35),"")</f>
        <v/>
      </c>
      <c r="AA30" s="68" t="str">
        <f>IF(AND('Mapa final'!$Y$36="Media",'Mapa final'!$AA$36="Moderado"),CONCATENATE("R5C",'Mapa final'!$O$36),"")</f>
        <v/>
      </c>
      <c r="AB30" s="51" t="str">
        <f ca="1">IF(AND('Mapa final'!$Y$34="Media",'Mapa final'!$AA$34="Mayor"),CONCATENATE("R5C",'Mapa final'!$O$34),"")</f>
        <v/>
      </c>
      <c r="AC30" s="52" t="e">
        <f>IF(AND('Mapa final'!#REF!="Media",'Mapa final'!#REF!="Mayor"),CONCATENATE("R5C",'Mapa final'!#REF!),"")</f>
        <v>#REF!</v>
      </c>
      <c r="AD30" s="52" t="e">
        <f>IF(AND('Mapa final'!#REF!="Media",'Mapa final'!#REF!="Mayor"),CONCATENATE("R5C",'Mapa final'!#REF!),"")</f>
        <v>#REF!</v>
      </c>
      <c r="AE30" s="52" t="e">
        <f>IF(AND('Mapa final'!#REF!="Media",'Mapa final'!#REF!="Mayor"),CONCATENATE("R5C",'Mapa final'!#REF!),"")</f>
        <v>#REF!</v>
      </c>
      <c r="AF30" s="52" t="str">
        <f>IF(AND('Mapa final'!$Y$35="Media",'Mapa final'!$AA$35="Mayor"),CONCATENATE("R5C",'Mapa final'!$O$35),"")</f>
        <v/>
      </c>
      <c r="AG30" s="53" t="str">
        <f>IF(AND('Mapa final'!$Y$36="Media",'Mapa final'!$AA$36="Mayor"),CONCATENATE("R5C",'Mapa final'!$O$36),"")</f>
        <v/>
      </c>
      <c r="AH30" s="54" t="str">
        <f ca="1">IF(AND('Mapa final'!$Y$34="Media",'Mapa final'!$AA$34="Catastrófico"),CONCATENATE("R5C",'Mapa final'!$O$34),"")</f>
        <v/>
      </c>
      <c r="AI30" s="55" t="e">
        <f>IF(AND('Mapa final'!#REF!="Media",'Mapa final'!#REF!="Catastrófico"),CONCATENATE("R5C",'Mapa final'!#REF!),"")</f>
        <v>#REF!</v>
      </c>
      <c r="AJ30" s="55" t="e">
        <f>IF(AND('Mapa final'!#REF!="Media",'Mapa final'!#REF!="Catastrófico"),CONCATENATE("R5C",'Mapa final'!#REF!),"")</f>
        <v>#REF!</v>
      </c>
      <c r="AK30" s="55" t="e">
        <f>IF(AND('Mapa final'!#REF!="Media",'Mapa final'!#REF!="Catastrófico"),CONCATENATE("R5C",'Mapa final'!#REF!),"")</f>
        <v>#REF!</v>
      </c>
      <c r="AL30" s="55" t="str">
        <f>IF(AND('Mapa final'!$Y$35="Media",'Mapa final'!$AA$35="Catastrófico"),CONCATENATE("R5C",'Mapa final'!$O$35),"")</f>
        <v/>
      </c>
      <c r="AM30" s="56" t="str">
        <f>IF(AND('Mapa final'!$Y$36="Media",'Mapa final'!$AA$36="Catastrófico"),CONCATENATE("R5C",'Mapa final'!$O$36),"")</f>
        <v/>
      </c>
      <c r="AN30" s="82"/>
      <c r="AO30" s="527"/>
      <c r="AP30" s="528"/>
      <c r="AQ30" s="528"/>
      <c r="AR30" s="528"/>
      <c r="AS30" s="528"/>
      <c r="AT30" s="529"/>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446"/>
      <c r="C31" s="446"/>
      <c r="D31" s="447"/>
      <c r="E31" s="487"/>
      <c r="F31" s="488"/>
      <c r="G31" s="488"/>
      <c r="H31" s="488"/>
      <c r="I31" s="489"/>
      <c r="J31" s="66" t="str">
        <f ca="1">IF(AND('Mapa final'!$Y$37="Media",'Mapa final'!$AA$37="Leve"),CONCATENATE("R6C",'Mapa final'!$O$37),"")</f>
        <v/>
      </c>
      <c r="K31" s="67" t="str">
        <f>IF(AND('Mapa final'!$Y$38="Media",'Mapa final'!$AA$38="Leve"),CONCATENATE("R6C",'Mapa final'!$O$38),"")</f>
        <v/>
      </c>
      <c r="L31" s="67" t="str">
        <f>IF(AND('Mapa final'!$Y$39="Media",'Mapa final'!$AA$39="Leve"),CONCATENATE("R6C",'Mapa final'!$O$39),"")</f>
        <v/>
      </c>
      <c r="M31" s="67" t="str">
        <f>IF(AND('Mapa final'!$Y$40="Media",'Mapa final'!$AA$40="Leve"),CONCATENATE("R6C",'Mapa final'!$O$40),"")</f>
        <v/>
      </c>
      <c r="N31" s="67" t="str">
        <f>IF(AND('Mapa final'!$Y$41="Media",'Mapa final'!$AA$41="Leve"),CONCATENATE("R6C",'Mapa final'!$O$41),"")</f>
        <v/>
      </c>
      <c r="O31" s="68" t="str">
        <f>IF(AND('Mapa final'!$Y$42="Media",'Mapa final'!$AA$42="Leve"),CONCATENATE("R6C",'Mapa final'!$O$42),"")</f>
        <v/>
      </c>
      <c r="P31" s="66" t="str">
        <f ca="1">IF(AND('Mapa final'!$Y$37="Media",'Mapa final'!$AA$37="Menor"),CONCATENATE("R6C",'Mapa final'!$O$37),"")</f>
        <v/>
      </c>
      <c r="Q31" s="67" t="str">
        <f>IF(AND('Mapa final'!$Y$38="Media",'Mapa final'!$AA$38="Menor"),CONCATENATE("R6C",'Mapa final'!$O$38),"")</f>
        <v/>
      </c>
      <c r="R31" s="67" t="str">
        <f>IF(AND('Mapa final'!$Y$39="Media",'Mapa final'!$AA$39="Menor"),CONCATENATE("R6C",'Mapa final'!$O$39),"")</f>
        <v/>
      </c>
      <c r="S31" s="67" t="str">
        <f>IF(AND('Mapa final'!$Y$40="Media",'Mapa final'!$AA$40="Menor"),CONCATENATE("R6C",'Mapa final'!$O$40),"")</f>
        <v/>
      </c>
      <c r="T31" s="67" t="str">
        <f>IF(AND('Mapa final'!$Y$41="Media",'Mapa final'!$AA$41="Menor"),CONCATENATE("R6C",'Mapa final'!$O$41),"")</f>
        <v/>
      </c>
      <c r="U31" s="68" t="str">
        <f>IF(AND('Mapa final'!$Y$42="Media",'Mapa final'!$AA$42="Menor"),CONCATENATE("R6C",'Mapa final'!$O$42),"")</f>
        <v/>
      </c>
      <c r="V31" s="66" t="str">
        <f ca="1">IF(AND('Mapa final'!$Y$37="Media",'Mapa final'!$AA$37="Moderado"),CONCATENATE("R6C",'Mapa final'!$O$37),"")</f>
        <v/>
      </c>
      <c r="W31" s="67" t="str">
        <f>IF(AND('Mapa final'!$Y$38="Media",'Mapa final'!$AA$38="Moderado"),CONCATENATE("R6C",'Mapa final'!$O$38),"")</f>
        <v/>
      </c>
      <c r="X31" s="67" t="str">
        <f>IF(AND('Mapa final'!$Y$39="Media",'Mapa final'!$AA$39="Moderado"),CONCATENATE("R6C",'Mapa final'!$O$39),"")</f>
        <v/>
      </c>
      <c r="Y31" s="67" t="str">
        <f>IF(AND('Mapa final'!$Y$40="Media",'Mapa final'!$AA$40="Moderado"),CONCATENATE("R6C",'Mapa final'!$O$40),"")</f>
        <v/>
      </c>
      <c r="Z31" s="67" t="str">
        <f>IF(AND('Mapa final'!$Y$41="Media",'Mapa final'!$AA$41="Moderado"),CONCATENATE("R6C",'Mapa final'!$O$41),"")</f>
        <v/>
      </c>
      <c r="AA31" s="68" t="str">
        <f>IF(AND('Mapa final'!$Y$42="Media",'Mapa final'!$AA$42="Moderado"),CONCATENATE("R6C",'Mapa final'!$O$42),"")</f>
        <v/>
      </c>
      <c r="AB31" s="51" t="str">
        <f ca="1">IF(AND('Mapa final'!$Y$37="Media",'Mapa final'!$AA$37="Mayor"),CONCATENATE("R6C",'Mapa final'!$O$37),"")</f>
        <v/>
      </c>
      <c r="AC31" s="52" t="str">
        <f>IF(AND('Mapa final'!$Y$38="Media",'Mapa final'!$AA$38="Mayor"),CONCATENATE("R6C",'Mapa final'!$O$38),"")</f>
        <v/>
      </c>
      <c r="AD31" s="52" t="str">
        <f>IF(AND('Mapa final'!$Y$39="Media",'Mapa final'!$AA$39="Mayor"),CONCATENATE("R6C",'Mapa final'!$O$39),"")</f>
        <v/>
      </c>
      <c r="AE31" s="52" t="str">
        <f>IF(AND('Mapa final'!$Y$40="Media",'Mapa final'!$AA$40="Mayor"),CONCATENATE("R6C",'Mapa final'!$O$40),"")</f>
        <v/>
      </c>
      <c r="AF31" s="52" t="str">
        <f>IF(AND('Mapa final'!$Y$41="Media",'Mapa final'!$AA$41="Mayor"),CONCATENATE("R6C",'Mapa final'!$O$41),"")</f>
        <v/>
      </c>
      <c r="AG31" s="53" t="str">
        <f>IF(AND('Mapa final'!$Y$42="Media",'Mapa final'!$AA$42="Mayor"),CONCATENATE("R6C",'Mapa final'!$O$42),"")</f>
        <v/>
      </c>
      <c r="AH31" s="54" t="str">
        <f ca="1">IF(AND('Mapa final'!$Y$37="Media",'Mapa final'!$AA$37="Catastrófico"),CONCATENATE("R6C",'Mapa final'!$O$37),"")</f>
        <v/>
      </c>
      <c r="AI31" s="55" t="str">
        <f>IF(AND('Mapa final'!$Y$38="Media",'Mapa final'!$AA$38="Catastrófico"),CONCATENATE("R6C",'Mapa final'!$O$38),"")</f>
        <v/>
      </c>
      <c r="AJ31" s="55" t="str">
        <f>IF(AND('Mapa final'!$Y$39="Media",'Mapa final'!$AA$39="Catastrófico"),CONCATENATE("R6C",'Mapa final'!$O$39),"")</f>
        <v/>
      </c>
      <c r="AK31" s="55" t="str">
        <f>IF(AND('Mapa final'!$Y$40="Media",'Mapa final'!$AA$40="Catastrófico"),CONCATENATE("R6C",'Mapa final'!$O$40),"")</f>
        <v/>
      </c>
      <c r="AL31" s="55" t="str">
        <f>IF(AND('Mapa final'!$Y$41="Media",'Mapa final'!$AA$41="Catastrófico"),CONCATENATE("R6C",'Mapa final'!$O$41),"")</f>
        <v/>
      </c>
      <c r="AM31" s="56" t="str">
        <f>IF(AND('Mapa final'!$Y$42="Media",'Mapa final'!$AA$42="Catastrófico"),CONCATENATE("R6C",'Mapa final'!$O$42),"")</f>
        <v/>
      </c>
      <c r="AN31" s="82"/>
      <c r="AO31" s="527"/>
      <c r="AP31" s="528"/>
      <c r="AQ31" s="528"/>
      <c r="AR31" s="528"/>
      <c r="AS31" s="528"/>
      <c r="AT31" s="529"/>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446"/>
      <c r="C32" s="446"/>
      <c r="D32" s="447"/>
      <c r="E32" s="487"/>
      <c r="F32" s="488"/>
      <c r="G32" s="488"/>
      <c r="H32" s="488"/>
      <c r="I32" s="489"/>
      <c r="J32" s="66" t="str">
        <f ca="1">IF(AND('Mapa final'!$Y$43="Media",'Mapa final'!$AA$43="Leve"),CONCATENATE("R7C",'Mapa final'!$O$43),"")</f>
        <v/>
      </c>
      <c r="K32" s="67" t="str">
        <f>IF(AND('Mapa final'!$Y$44="Media",'Mapa final'!$AA$44="Leve"),CONCATENATE("R7C",'Mapa final'!$O$44),"")</f>
        <v/>
      </c>
      <c r="L32" s="67" t="str">
        <f>IF(AND('Mapa final'!$Y$45="Media",'Mapa final'!$AA$45="Leve"),CONCATENATE("R7C",'Mapa final'!$O$45),"")</f>
        <v/>
      </c>
      <c r="M32" s="67" t="str">
        <f>IF(AND('Mapa final'!$Y$46="Media",'Mapa final'!$AA$46="Leve"),CONCATENATE("R7C",'Mapa final'!$O$46),"")</f>
        <v/>
      </c>
      <c r="N32" s="67" t="str">
        <f>IF(AND('Mapa final'!$Y$47="Media",'Mapa final'!$AA$47="Leve"),CONCATENATE("R7C",'Mapa final'!$O$47),"")</f>
        <v/>
      </c>
      <c r="O32" s="68" t="str">
        <f>IF(AND('Mapa final'!$Y$48="Media",'Mapa final'!$AA$48="Leve"),CONCATENATE("R7C",'Mapa final'!$O$48),"")</f>
        <v/>
      </c>
      <c r="P32" s="66" t="str">
        <f ca="1">IF(AND('Mapa final'!$Y$43="Media",'Mapa final'!$AA$43="Menor"),CONCATENATE("R7C",'Mapa final'!$O$43),"")</f>
        <v/>
      </c>
      <c r="Q32" s="67" t="str">
        <f>IF(AND('Mapa final'!$Y$44="Media",'Mapa final'!$AA$44="Menor"),CONCATENATE("R7C",'Mapa final'!$O$44),"")</f>
        <v/>
      </c>
      <c r="R32" s="67" t="str">
        <f>IF(AND('Mapa final'!$Y$45="Media",'Mapa final'!$AA$45="Menor"),CONCATENATE("R7C",'Mapa final'!$O$45),"")</f>
        <v/>
      </c>
      <c r="S32" s="67" t="str">
        <f>IF(AND('Mapa final'!$Y$46="Media",'Mapa final'!$AA$46="Menor"),CONCATENATE("R7C",'Mapa final'!$O$46),"")</f>
        <v/>
      </c>
      <c r="T32" s="67" t="str">
        <f>IF(AND('Mapa final'!$Y$47="Media",'Mapa final'!$AA$47="Menor"),CONCATENATE("R7C",'Mapa final'!$O$47),"")</f>
        <v/>
      </c>
      <c r="U32" s="68" t="str">
        <f>IF(AND('Mapa final'!$Y$48="Media",'Mapa final'!$AA$48="Menor"),CONCATENATE("R7C",'Mapa final'!$O$48),"")</f>
        <v/>
      </c>
      <c r="V32" s="66" t="str">
        <f ca="1">IF(AND('Mapa final'!$Y$43="Media",'Mapa final'!$AA$43="Moderado"),CONCATENATE("R7C",'Mapa final'!$O$43),"")</f>
        <v/>
      </c>
      <c r="W32" s="67" t="str">
        <f>IF(AND('Mapa final'!$Y$44="Media",'Mapa final'!$AA$44="Moderado"),CONCATENATE("R7C",'Mapa final'!$O$44),"")</f>
        <v/>
      </c>
      <c r="X32" s="67" t="str">
        <f>IF(AND('Mapa final'!$Y$45="Media",'Mapa final'!$AA$45="Moderado"),CONCATENATE("R7C",'Mapa final'!$O$45),"")</f>
        <v/>
      </c>
      <c r="Y32" s="67" t="str">
        <f>IF(AND('Mapa final'!$Y$46="Media",'Mapa final'!$AA$46="Moderado"),CONCATENATE("R7C",'Mapa final'!$O$46),"")</f>
        <v/>
      </c>
      <c r="Z32" s="67" t="str">
        <f>IF(AND('Mapa final'!$Y$47="Media",'Mapa final'!$AA$47="Moderado"),CONCATENATE("R7C",'Mapa final'!$O$47),"")</f>
        <v/>
      </c>
      <c r="AA32" s="68" t="str">
        <f>IF(AND('Mapa final'!$Y$48="Media",'Mapa final'!$AA$48="Moderado"),CONCATENATE("R7C",'Mapa final'!$O$48),"")</f>
        <v/>
      </c>
      <c r="AB32" s="51" t="str">
        <f ca="1">IF(AND('Mapa final'!$Y$43="Media",'Mapa final'!$AA$43="Mayor"),CONCATENATE("R7C",'Mapa final'!$O$43),"")</f>
        <v/>
      </c>
      <c r="AC32" s="52" t="str">
        <f>IF(AND('Mapa final'!$Y$44="Media",'Mapa final'!$AA$44="Mayor"),CONCATENATE("R7C",'Mapa final'!$O$44),"")</f>
        <v/>
      </c>
      <c r="AD32" s="52" t="str">
        <f>IF(AND('Mapa final'!$Y$45="Media",'Mapa final'!$AA$45="Mayor"),CONCATENATE("R7C",'Mapa final'!$O$45),"")</f>
        <v/>
      </c>
      <c r="AE32" s="52" t="str">
        <f>IF(AND('Mapa final'!$Y$46="Media",'Mapa final'!$AA$46="Mayor"),CONCATENATE("R7C",'Mapa final'!$O$46),"")</f>
        <v/>
      </c>
      <c r="AF32" s="52" t="str">
        <f>IF(AND('Mapa final'!$Y$47="Media",'Mapa final'!$AA$47="Mayor"),CONCATENATE("R7C",'Mapa final'!$O$47),"")</f>
        <v/>
      </c>
      <c r="AG32" s="53" t="str">
        <f>IF(AND('Mapa final'!$Y$48="Media",'Mapa final'!$AA$48="Mayor"),CONCATENATE("R7C",'Mapa final'!$O$48),"")</f>
        <v/>
      </c>
      <c r="AH32" s="54" t="str">
        <f ca="1">IF(AND('Mapa final'!$Y$43="Media",'Mapa final'!$AA$43="Catastrófico"),CONCATENATE("R7C",'Mapa final'!$O$43),"")</f>
        <v/>
      </c>
      <c r="AI32" s="55" t="str">
        <f>IF(AND('Mapa final'!$Y$44="Media",'Mapa final'!$AA$44="Catastrófico"),CONCATENATE("R7C",'Mapa final'!$O$44),"")</f>
        <v/>
      </c>
      <c r="AJ32" s="55" t="str">
        <f>IF(AND('Mapa final'!$Y$45="Media",'Mapa final'!$AA$45="Catastrófico"),CONCATENATE("R7C",'Mapa final'!$O$45),"")</f>
        <v/>
      </c>
      <c r="AK32" s="55" t="str">
        <f>IF(AND('Mapa final'!$Y$46="Media",'Mapa final'!$AA$46="Catastrófico"),CONCATENATE("R7C",'Mapa final'!$O$46),"")</f>
        <v/>
      </c>
      <c r="AL32" s="55" t="str">
        <f>IF(AND('Mapa final'!$Y$47="Media",'Mapa final'!$AA$47="Catastrófico"),CONCATENATE("R7C",'Mapa final'!$O$47),"")</f>
        <v/>
      </c>
      <c r="AM32" s="56" t="str">
        <f>IF(AND('Mapa final'!$Y$48="Media",'Mapa final'!$AA$48="Catastrófico"),CONCATENATE("R7C",'Mapa final'!$O$48),"")</f>
        <v/>
      </c>
      <c r="AN32" s="82"/>
      <c r="AO32" s="527"/>
      <c r="AP32" s="528"/>
      <c r="AQ32" s="528"/>
      <c r="AR32" s="528"/>
      <c r="AS32" s="528"/>
      <c r="AT32" s="529"/>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446"/>
      <c r="C33" s="446"/>
      <c r="D33" s="447"/>
      <c r="E33" s="487"/>
      <c r="F33" s="488"/>
      <c r="G33" s="488"/>
      <c r="H33" s="488"/>
      <c r="I33" s="489"/>
      <c r="J33" s="66" t="str">
        <f ca="1">IF(AND('Mapa final'!$Y$49="Media",'Mapa final'!$AA$49="Leve"),CONCATENATE("R8C",'Mapa final'!$O$49),"")</f>
        <v/>
      </c>
      <c r="K33" s="67" t="str">
        <f>IF(AND('Mapa final'!$Y$50="Media",'Mapa final'!$AA$50="Leve"),CONCATENATE("R8C",'Mapa final'!$O$50),"")</f>
        <v/>
      </c>
      <c r="L33" s="67" t="str">
        <f>IF(AND('Mapa final'!$Y$51="Media",'Mapa final'!$AA$51="Leve"),CONCATENATE("R8C",'Mapa final'!$O$51),"")</f>
        <v/>
      </c>
      <c r="M33" s="67" t="str">
        <f ca="1">IF(AND('Mapa final'!$Y$52="Media",'Mapa final'!$AA$52="Leve"),CONCATENATE("R8C",'Mapa final'!$O$52),"")</f>
        <v/>
      </c>
      <c r="N33" s="67" t="str">
        <f>IF(AND('Mapa final'!$Y$53="Media",'Mapa final'!$AA$53="Leve"),CONCATENATE("R8C",'Mapa final'!$O$53),"")</f>
        <v/>
      </c>
      <c r="O33" s="68" t="str">
        <f>IF(AND('Mapa final'!$Y$54="Media",'Mapa final'!$AA$54="Leve"),CONCATENATE("R8C",'Mapa final'!$O$54),"")</f>
        <v/>
      </c>
      <c r="P33" s="66" t="str">
        <f ca="1">IF(AND('Mapa final'!$Y$49="Media",'Mapa final'!$AA$49="Menor"),CONCATENATE("R8C",'Mapa final'!$O$49),"")</f>
        <v/>
      </c>
      <c r="Q33" s="67" t="str">
        <f>IF(AND('Mapa final'!$Y$50="Media",'Mapa final'!$AA$50="Menor"),CONCATENATE("R8C",'Mapa final'!$O$50),"")</f>
        <v/>
      </c>
      <c r="R33" s="67" t="str">
        <f>IF(AND('Mapa final'!$Y$51="Media",'Mapa final'!$AA$51="Menor"),CONCATENATE("R8C",'Mapa final'!$O$51),"")</f>
        <v/>
      </c>
      <c r="S33" s="67" t="str">
        <f ca="1">IF(AND('Mapa final'!$Y$52="Media",'Mapa final'!$AA$52="Menor"),CONCATENATE("R8C",'Mapa final'!$O$52),"")</f>
        <v/>
      </c>
      <c r="T33" s="67" t="str">
        <f>IF(AND('Mapa final'!$Y$53="Media",'Mapa final'!$AA$53="Menor"),CONCATENATE("R8C",'Mapa final'!$O$53),"")</f>
        <v/>
      </c>
      <c r="U33" s="68" t="str">
        <f>IF(AND('Mapa final'!$Y$54="Media",'Mapa final'!$AA$54="Menor"),CONCATENATE("R8C",'Mapa final'!$O$54),"")</f>
        <v/>
      </c>
      <c r="V33" s="66" t="str">
        <f ca="1">IF(AND('Mapa final'!$Y$49="Media",'Mapa final'!$AA$49="Moderado"),CONCATENATE("R8C",'Mapa final'!$O$49),"")</f>
        <v/>
      </c>
      <c r="W33" s="67" t="str">
        <f>IF(AND('Mapa final'!$Y$50="Media",'Mapa final'!$AA$50="Moderado"),CONCATENATE("R8C",'Mapa final'!$O$50),"")</f>
        <v/>
      </c>
      <c r="X33" s="67" t="str">
        <f>IF(AND('Mapa final'!$Y$51="Media",'Mapa final'!$AA$51="Moderado"),CONCATENATE("R8C",'Mapa final'!$O$51),"")</f>
        <v/>
      </c>
      <c r="Y33" s="67" t="str">
        <f ca="1">IF(AND('Mapa final'!$Y$52="Media",'Mapa final'!$AA$52="Moderado"),CONCATENATE("R8C",'Mapa final'!$O$52),"")</f>
        <v/>
      </c>
      <c r="Z33" s="67" t="str">
        <f>IF(AND('Mapa final'!$Y$53="Media",'Mapa final'!$AA$53="Moderado"),CONCATENATE("R8C",'Mapa final'!$O$53),"")</f>
        <v/>
      </c>
      <c r="AA33" s="68" t="str">
        <f>IF(AND('Mapa final'!$Y$54="Media",'Mapa final'!$AA$54="Moderado"),CONCATENATE("R8C",'Mapa final'!$O$54),"")</f>
        <v/>
      </c>
      <c r="AB33" s="51" t="str">
        <f ca="1">IF(AND('Mapa final'!$Y$49="Media",'Mapa final'!$AA$49="Mayor"),CONCATENATE("R8C",'Mapa final'!$O$49),"")</f>
        <v/>
      </c>
      <c r="AC33" s="52" t="str">
        <f>IF(AND('Mapa final'!$Y$50="Media",'Mapa final'!$AA$50="Mayor"),CONCATENATE("R8C",'Mapa final'!$O$50),"")</f>
        <v/>
      </c>
      <c r="AD33" s="52" t="str">
        <f>IF(AND('Mapa final'!$Y$51="Media",'Mapa final'!$AA$51="Mayor"),CONCATENATE("R8C",'Mapa final'!$O$51),"")</f>
        <v/>
      </c>
      <c r="AE33" s="52" t="str">
        <f ca="1">IF(AND('Mapa final'!$Y$52="Media",'Mapa final'!$AA$52="Mayor"),CONCATENATE("R8C",'Mapa final'!$O$52),"")</f>
        <v/>
      </c>
      <c r="AF33" s="52" t="str">
        <f>IF(AND('Mapa final'!$Y$53="Media",'Mapa final'!$AA$53="Mayor"),CONCATENATE("R8C",'Mapa final'!$O$53),"")</f>
        <v/>
      </c>
      <c r="AG33" s="53" t="str">
        <f>IF(AND('Mapa final'!$Y$54="Media",'Mapa final'!$AA$54="Mayor"),CONCATENATE("R8C",'Mapa final'!$O$54),"")</f>
        <v/>
      </c>
      <c r="AH33" s="54" t="str">
        <f ca="1">IF(AND('Mapa final'!$Y$49="Media",'Mapa final'!$AA$49="Catastrófico"),CONCATENATE("R8C",'Mapa final'!$O$49),"")</f>
        <v/>
      </c>
      <c r="AI33" s="55" t="str">
        <f>IF(AND('Mapa final'!$Y$50="Media",'Mapa final'!$AA$50="Catastrófico"),CONCATENATE("R8C",'Mapa final'!$O$50),"")</f>
        <v/>
      </c>
      <c r="AJ33" s="55" t="str">
        <f>IF(AND('Mapa final'!$Y$51="Media",'Mapa final'!$AA$51="Catastrófico"),CONCATENATE("R8C",'Mapa final'!$O$51),"")</f>
        <v/>
      </c>
      <c r="AK33" s="55" t="str">
        <f ca="1">IF(AND('Mapa final'!$Y$52="Media",'Mapa final'!$AA$52="Catastrófico"),CONCATENATE("R8C",'Mapa final'!$O$52),"")</f>
        <v/>
      </c>
      <c r="AL33" s="55" t="str">
        <f>IF(AND('Mapa final'!$Y$53="Media",'Mapa final'!$AA$53="Catastrófico"),CONCATENATE("R8C",'Mapa final'!$O$53),"")</f>
        <v/>
      </c>
      <c r="AM33" s="56" t="str">
        <f>IF(AND('Mapa final'!$Y$54="Media",'Mapa final'!$AA$54="Catastrófico"),CONCATENATE("R8C",'Mapa final'!$O$54),"")</f>
        <v/>
      </c>
      <c r="AN33" s="82"/>
      <c r="AO33" s="527"/>
      <c r="AP33" s="528"/>
      <c r="AQ33" s="528"/>
      <c r="AR33" s="528"/>
      <c r="AS33" s="528"/>
      <c r="AT33" s="529"/>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446"/>
      <c r="C34" s="446"/>
      <c r="D34" s="447"/>
      <c r="E34" s="487"/>
      <c r="F34" s="488"/>
      <c r="G34" s="488"/>
      <c r="H34" s="488"/>
      <c r="I34" s="489"/>
      <c r="J34" s="66" t="str">
        <f>IF(AND('Mapa final'!$Y$55="Media",'Mapa final'!$AA$55="Leve"),CONCATENATE("R9C",'Mapa final'!$O$55),"")</f>
        <v/>
      </c>
      <c r="K34" s="67" t="str">
        <f>IF(AND('Mapa final'!$Y$56="Media",'Mapa final'!$AA$56="Leve"),CONCATENATE("R9C",'Mapa final'!$O$56),"")</f>
        <v/>
      </c>
      <c r="L34" s="67" t="str">
        <f>IF(AND('Mapa final'!$Y$57="Media",'Mapa final'!$AA$57="Leve"),CONCATENATE("R9C",'Mapa final'!$O$57),"")</f>
        <v/>
      </c>
      <c r="M34" s="67" t="str">
        <f>IF(AND('Mapa final'!$Y$58="Media",'Mapa final'!$AA$58="Leve"),CONCATENATE("R9C",'Mapa final'!$O$58),"")</f>
        <v/>
      </c>
      <c r="N34" s="67" t="str">
        <f>IF(AND('Mapa final'!$Y$59="Media",'Mapa final'!$AA$59="Leve"),CONCATENATE("R9C",'Mapa final'!$O$59),"")</f>
        <v/>
      </c>
      <c r="O34" s="68" t="str">
        <f>IF(AND('Mapa final'!$Y$60="Media",'Mapa final'!$AA$60="Leve"),CONCATENATE("R9C",'Mapa final'!$O$60),"")</f>
        <v/>
      </c>
      <c r="P34" s="66" t="str">
        <f>IF(AND('Mapa final'!$Y$55="Media",'Mapa final'!$AA$55="Menor"),CONCATENATE("R9C",'Mapa final'!$O$55),"")</f>
        <v/>
      </c>
      <c r="Q34" s="67" t="str">
        <f>IF(AND('Mapa final'!$Y$56="Media",'Mapa final'!$AA$56="Menor"),CONCATENATE("R9C",'Mapa final'!$O$56),"")</f>
        <v/>
      </c>
      <c r="R34" s="67" t="str">
        <f>IF(AND('Mapa final'!$Y$57="Media",'Mapa final'!$AA$57="Menor"),CONCATENATE("R9C",'Mapa final'!$O$57),"")</f>
        <v/>
      </c>
      <c r="S34" s="67" t="str">
        <f>IF(AND('Mapa final'!$Y$58="Media",'Mapa final'!$AA$58="Menor"),CONCATENATE("R9C",'Mapa final'!$O$58),"")</f>
        <v/>
      </c>
      <c r="T34" s="67" t="str">
        <f>IF(AND('Mapa final'!$Y$59="Media",'Mapa final'!$AA$59="Menor"),CONCATENATE("R9C",'Mapa final'!$O$59),"")</f>
        <v/>
      </c>
      <c r="U34" s="68" t="str">
        <f>IF(AND('Mapa final'!$Y$60="Media",'Mapa final'!$AA$60="Menor"),CONCATENATE("R9C",'Mapa final'!$O$60),"")</f>
        <v/>
      </c>
      <c r="V34" s="66" t="str">
        <f>IF(AND('Mapa final'!$Y$55="Media",'Mapa final'!$AA$55="Moderado"),CONCATENATE("R9C",'Mapa final'!$O$55),"")</f>
        <v/>
      </c>
      <c r="W34" s="67" t="str">
        <f>IF(AND('Mapa final'!$Y$56="Media",'Mapa final'!$AA$56="Moderado"),CONCATENATE("R9C",'Mapa final'!$O$56),"")</f>
        <v/>
      </c>
      <c r="X34" s="67" t="str">
        <f>IF(AND('Mapa final'!$Y$57="Media",'Mapa final'!$AA$57="Moderado"),CONCATENATE("R9C",'Mapa final'!$O$57),"")</f>
        <v/>
      </c>
      <c r="Y34" s="67" t="str">
        <f>IF(AND('Mapa final'!$Y$58="Media",'Mapa final'!$AA$58="Moderado"),CONCATENATE("R9C",'Mapa final'!$O$58),"")</f>
        <v/>
      </c>
      <c r="Z34" s="67" t="str">
        <f>IF(AND('Mapa final'!$Y$59="Media",'Mapa final'!$AA$59="Moderado"),CONCATENATE("R9C",'Mapa final'!$O$59),"")</f>
        <v/>
      </c>
      <c r="AA34" s="68" t="str">
        <f>IF(AND('Mapa final'!$Y$60="Media",'Mapa final'!$AA$60="Moderado"),CONCATENATE("R9C",'Mapa final'!$O$60),"")</f>
        <v/>
      </c>
      <c r="AB34" s="51" t="str">
        <f>IF(AND('Mapa final'!$Y$55="Media",'Mapa final'!$AA$55="Mayor"),CONCATENATE("R9C",'Mapa final'!$O$55),"")</f>
        <v/>
      </c>
      <c r="AC34" s="52" t="str">
        <f>IF(AND('Mapa final'!$Y$56="Media",'Mapa final'!$AA$56="Mayor"),CONCATENATE("R9C",'Mapa final'!$O$56),"")</f>
        <v/>
      </c>
      <c r="AD34" s="52" t="str">
        <f>IF(AND('Mapa final'!$Y$57="Media",'Mapa final'!$AA$57="Mayor"),CONCATENATE("R9C",'Mapa final'!$O$57),"")</f>
        <v/>
      </c>
      <c r="AE34" s="52" t="str">
        <f>IF(AND('Mapa final'!$Y$58="Media",'Mapa final'!$AA$58="Mayor"),CONCATENATE("R9C",'Mapa final'!$O$58),"")</f>
        <v/>
      </c>
      <c r="AF34" s="52" t="str">
        <f>IF(AND('Mapa final'!$Y$59="Media",'Mapa final'!$AA$59="Mayor"),CONCATENATE("R9C",'Mapa final'!$O$59),"")</f>
        <v/>
      </c>
      <c r="AG34" s="53" t="str">
        <f>IF(AND('Mapa final'!$Y$60="Media",'Mapa final'!$AA$60="Mayor"),CONCATENATE("R9C",'Mapa final'!$O$60),"")</f>
        <v/>
      </c>
      <c r="AH34" s="54" t="str">
        <f>IF(AND('Mapa final'!$Y$55="Media",'Mapa final'!$AA$55="Catastrófico"),CONCATENATE("R9C",'Mapa final'!$O$55),"")</f>
        <v/>
      </c>
      <c r="AI34" s="55" t="str">
        <f>IF(AND('Mapa final'!$Y$56="Media",'Mapa final'!$AA$56="Catastrófico"),CONCATENATE("R9C",'Mapa final'!$O$56),"")</f>
        <v/>
      </c>
      <c r="AJ34" s="55" t="str">
        <f>IF(AND('Mapa final'!$Y$57="Media",'Mapa final'!$AA$57="Catastrófico"),CONCATENATE("R9C",'Mapa final'!$O$57),"")</f>
        <v/>
      </c>
      <c r="AK34" s="55" t="str">
        <f>IF(AND('Mapa final'!$Y$58="Media",'Mapa final'!$AA$58="Catastrófico"),CONCATENATE("R9C",'Mapa final'!$O$58),"")</f>
        <v/>
      </c>
      <c r="AL34" s="55" t="str">
        <f>IF(AND('Mapa final'!$Y$59="Media",'Mapa final'!$AA$59="Catastrófico"),CONCATENATE("R9C",'Mapa final'!$O$59),"")</f>
        <v/>
      </c>
      <c r="AM34" s="56" t="str">
        <f>IF(AND('Mapa final'!$Y$60="Media",'Mapa final'!$AA$60="Catastrófico"),CONCATENATE("R9C",'Mapa final'!$O$60),"")</f>
        <v/>
      </c>
      <c r="AN34" s="82"/>
      <c r="AO34" s="527"/>
      <c r="AP34" s="528"/>
      <c r="AQ34" s="528"/>
      <c r="AR34" s="528"/>
      <c r="AS34" s="528"/>
      <c r="AT34" s="529"/>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446"/>
      <c r="C35" s="446"/>
      <c r="D35" s="447"/>
      <c r="E35" s="490"/>
      <c r="F35" s="491"/>
      <c r="G35" s="491"/>
      <c r="H35" s="491"/>
      <c r="I35" s="492"/>
      <c r="J35" s="66" t="str">
        <f>IF(AND('Mapa final'!$Y$61="Media",'Mapa final'!$AA$61="Leve"),CONCATENATE("R10C",'Mapa final'!$O$61),"")</f>
        <v/>
      </c>
      <c r="K35" s="67" t="str">
        <f>IF(AND('Mapa final'!$Y$62="Media",'Mapa final'!$AA$62="Leve"),CONCATENATE("R10C",'Mapa final'!$O$62),"")</f>
        <v/>
      </c>
      <c r="L35" s="67" t="str">
        <f>IF(AND('Mapa final'!$Y$63="Media",'Mapa final'!$AA$63="Leve"),CONCATENATE("R10C",'Mapa final'!$O$63),"")</f>
        <v/>
      </c>
      <c r="M35" s="67" t="str">
        <f>IF(AND('Mapa final'!$Y$64="Media",'Mapa final'!$AA$64="Leve"),CONCATENATE("R10C",'Mapa final'!$O$64),"")</f>
        <v/>
      </c>
      <c r="N35" s="67" t="str">
        <f>IF(AND('Mapa final'!$Y$65="Media",'Mapa final'!$AA$65="Leve"),CONCATENATE("R10C",'Mapa final'!$O$65),"")</f>
        <v/>
      </c>
      <c r="O35" s="68" t="str">
        <f>IF(AND('Mapa final'!$Y$66="Media",'Mapa final'!$AA$66="Leve"),CONCATENATE("R10C",'Mapa final'!$O$66),"")</f>
        <v/>
      </c>
      <c r="P35" s="66" t="str">
        <f>IF(AND('Mapa final'!$Y$61="Media",'Mapa final'!$AA$61="Menor"),CONCATENATE("R10C",'Mapa final'!$O$61),"")</f>
        <v/>
      </c>
      <c r="Q35" s="67" t="str">
        <f>IF(AND('Mapa final'!$Y$62="Media",'Mapa final'!$AA$62="Menor"),CONCATENATE("R10C",'Mapa final'!$O$62),"")</f>
        <v/>
      </c>
      <c r="R35" s="67" t="str">
        <f>IF(AND('Mapa final'!$Y$63="Media",'Mapa final'!$AA$63="Menor"),CONCATENATE("R10C",'Mapa final'!$O$63),"")</f>
        <v/>
      </c>
      <c r="S35" s="67" t="str">
        <f>IF(AND('Mapa final'!$Y$64="Media",'Mapa final'!$AA$64="Menor"),CONCATENATE("R10C",'Mapa final'!$O$64),"")</f>
        <v/>
      </c>
      <c r="T35" s="67" t="str">
        <f>IF(AND('Mapa final'!$Y$65="Media",'Mapa final'!$AA$65="Menor"),CONCATENATE("R10C",'Mapa final'!$O$65),"")</f>
        <v/>
      </c>
      <c r="U35" s="68" t="str">
        <f>IF(AND('Mapa final'!$Y$66="Media",'Mapa final'!$AA$66="Menor"),CONCATENATE("R10C",'Mapa final'!$O$66),"")</f>
        <v/>
      </c>
      <c r="V35" s="66" t="str">
        <f>IF(AND('Mapa final'!$Y$61="Media",'Mapa final'!$AA$61="Moderado"),CONCATENATE("R10C",'Mapa final'!$O$61),"")</f>
        <v/>
      </c>
      <c r="W35" s="67" t="str">
        <f>IF(AND('Mapa final'!$Y$62="Media",'Mapa final'!$AA$62="Moderado"),CONCATENATE("R10C",'Mapa final'!$O$62),"")</f>
        <v/>
      </c>
      <c r="X35" s="67" t="str">
        <f>IF(AND('Mapa final'!$Y$63="Media",'Mapa final'!$AA$63="Moderado"),CONCATENATE("R10C",'Mapa final'!$O$63),"")</f>
        <v/>
      </c>
      <c r="Y35" s="67" t="str">
        <f>IF(AND('Mapa final'!$Y$64="Media",'Mapa final'!$AA$64="Moderado"),CONCATENATE("R10C",'Mapa final'!$O$64),"")</f>
        <v/>
      </c>
      <c r="Z35" s="67" t="str">
        <f>IF(AND('Mapa final'!$Y$65="Media",'Mapa final'!$AA$65="Moderado"),CONCATENATE("R10C",'Mapa final'!$O$65),"")</f>
        <v/>
      </c>
      <c r="AA35" s="68" t="str">
        <f>IF(AND('Mapa final'!$Y$66="Media",'Mapa final'!$AA$66="Moderado"),CONCATENATE("R10C",'Mapa final'!$O$66),"")</f>
        <v/>
      </c>
      <c r="AB35" s="57" t="str">
        <f>IF(AND('Mapa final'!$Y$61="Media",'Mapa final'!$AA$61="Mayor"),CONCATENATE("R10C",'Mapa final'!$O$61),"")</f>
        <v/>
      </c>
      <c r="AC35" s="58" t="str">
        <f>IF(AND('Mapa final'!$Y$62="Media",'Mapa final'!$AA$62="Mayor"),CONCATENATE("R10C",'Mapa final'!$O$62),"")</f>
        <v/>
      </c>
      <c r="AD35" s="58" t="str">
        <f>IF(AND('Mapa final'!$Y$63="Media",'Mapa final'!$AA$63="Mayor"),CONCATENATE("R10C",'Mapa final'!$O$63),"")</f>
        <v/>
      </c>
      <c r="AE35" s="58" t="str">
        <f>IF(AND('Mapa final'!$Y$64="Media",'Mapa final'!$AA$64="Mayor"),CONCATENATE("R10C",'Mapa final'!$O$64),"")</f>
        <v/>
      </c>
      <c r="AF35" s="58" t="str">
        <f>IF(AND('Mapa final'!$Y$65="Media",'Mapa final'!$AA$65="Mayor"),CONCATENATE("R10C",'Mapa final'!$O$65),"")</f>
        <v/>
      </c>
      <c r="AG35" s="59" t="str">
        <f>IF(AND('Mapa final'!$Y$66="Media",'Mapa final'!$AA$66="Mayor"),CONCATENATE("R10C",'Mapa final'!$O$66),"")</f>
        <v/>
      </c>
      <c r="AH35" s="60" t="str">
        <f>IF(AND('Mapa final'!$Y$61="Media",'Mapa final'!$AA$61="Catastrófico"),CONCATENATE("R10C",'Mapa final'!$O$61),"")</f>
        <v/>
      </c>
      <c r="AI35" s="61" t="str">
        <f>IF(AND('Mapa final'!$Y$62="Media",'Mapa final'!$AA$62="Catastrófico"),CONCATENATE("R10C",'Mapa final'!$O$62),"")</f>
        <v/>
      </c>
      <c r="AJ35" s="61" t="str">
        <f>IF(AND('Mapa final'!$Y$63="Media",'Mapa final'!$AA$63="Catastrófico"),CONCATENATE("R10C",'Mapa final'!$O$63),"")</f>
        <v/>
      </c>
      <c r="AK35" s="61" t="str">
        <f>IF(AND('Mapa final'!$Y$64="Media",'Mapa final'!$AA$64="Catastrófico"),CONCATENATE("R10C",'Mapa final'!$O$64),"")</f>
        <v/>
      </c>
      <c r="AL35" s="61" t="str">
        <f>IF(AND('Mapa final'!$Y$65="Media",'Mapa final'!$AA$65="Catastrófico"),CONCATENATE("R10C",'Mapa final'!$O$65),"")</f>
        <v/>
      </c>
      <c r="AM35" s="62" t="str">
        <f>IF(AND('Mapa final'!$Y$66="Media",'Mapa final'!$AA$66="Catastrófico"),CONCATENATE("R10C",'Mapa final'!$O$66),"")</f>
        <v/>
      </c>
      <c r="AN35" s="82"/>
      <c r="AO35" s="530"/>
      <c r="AP35" s="531"/>
      <c r="AQ35" s="531"/>
      <c r="AR35" s="531"/>
      <c r="AS35" s="531"/>
      <c r="AT35" s="53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446"/>
      <c r="C36" s="446"/>
      <c r="D36" s="447"/>
      <c r="E36" s="484" t="s">
        <v>113</v>
      </c>
      <c r="F36" s="485"/>
      <c r="G36" s="485"/>
      <c r="H36" s="485"/>
      <c r="I36" s="485"/>
      <c r="J36" s="72" t="str">
        <f ca="1">IF(AND('Mapa final'!$Y$10="Baja",'Mapa final'!$AA$10="Leve"),CONCATENATE("R1C",'Mapa final'!$O$10),"")</f>
        <v/>
      </c>
      <c r="K36" s="73" t="str">
        <f>IF(AND('Mapa final'!$Y$11="Baja",'Mapa final'!$AA$11="Leve"),CONCATENATE("R1C",'Mapa final'!$O$11),"")</f>
        <v/>
      </c>
      <c r="L36" s="73" t="str">
        <f>IF(AND('Mapa final'!$Y$12="Baja",'Mapa final'!$AA$12="Leve"),CONCATENATE("R1C",'Mapa final'!$O$12),"")</f>
        <v/>
      </c>
      <c r="M36" s="73" t="str">
        <f>IF(AND('Mapa final'!$Y$13="Baja",'Mapa final'!$AA$13="Leve"),CONCATENATE("R1C",'Mapa final'!$O$13),"")</f>
        <v/>
      </c>
      <c r="N36" s="73" t="str">
        <f>IF(AND('Mapa final'!$Y$14="Baja",'Mapa final'!$AA$14="Leve"),CONCATENATE("R1C",'Mapa final'!$O$14),"")</f>
        <v/>
      </c>
      <c r="O36" s="74" t="str">
        <f>IF(AND('Mapa final'!$Y$15="Baja",'Mapa final'!$AA$15="Leve"),CONCATENATE("R1C",'Mapa final'!$O$15),"")</f>
        <v/>
      </c>
      <c r="P36" s="63" t="str">
        <f ca="1">IF(AND('Mapa final'!$Y$10="Baja",'Mapa final'!$AA$10="Menor"),CONCATENATE("R1C",'Mapa final'!$O$10),"")</f>
        <v/>
      </c>
      <c r="Q36" s="64" t="str">
        <f>IF(AND('Mapa final'!$Y$11="Baja",'Mapa final'!$AA$11="Menor"),CONCATENATE("R1C",'Mapa final'!$O$11),"")</f>
        <v/>
      </c>
      <c r="R36" s="64" t="str">
        <f>IF(AND('Mapa final'!$Y$12="Baja",'Mapa final'!$AA$12="Menor"),CONCATENATE("R1C",'Mapa final'!$O$12),"")</f>
        <v/>
      </c>
      <c r="S36" s="64" t="str">
        <f>IF(AND('Mapa final'!$Y$13="Baja",'Mapa final'!$AA$13="Menor"),CONCATENATE("R1C",'Mapa final'!$O$13),"")</f>
        <v/>
      </c>
      <c r="T36" s="64" t="str">
        <f>IF(AND('Mapa final'!$Y$14="Baja",'Mapa final'!$AA$14="Menor"),CONCATENATE("R1C",'Mapa final'!$O$14),"")</f>
        <v/>
      </c>
      <c r="U36" s="65" t="str">
        <f>IF(AND('Mapa final'!$Y$15="Baja",'Mapa final'!$AA$15="Menor"),CONCATENATE("R1C",'Mapa final'!$O$15),"")</f>
        <v/>
      </c>
      <c r="V36" s="63" t="str">
        <f ca="1">IF(AND('Mapa final'!$Y$10="Baja",'Mapa final'!$AA$10="Moderado"),CONCATENATE("R1C",'Mapa final'!$O$10),"")</f>
        <v/>
      </c>
      <c r="W36" s="64" t="str">
        <f>IF(AND('Mapa final'!$Y$11="Baja",'Mapa final'!$AA$11="Moderado"),CONCATENATE("R1C",'Mapa final'!$O$11),"")</f>
        <v/>
      </c>
      <c r="X36" s="64" t="str">
        <f>IF(AND('Mapa final'!$Y$12="Baja",'Mapa final'!$AA$12="Moderado"),CONCATENATE("R1C",'Mapa final'!$O$12),"")</f>
        <v/>
      </c>
      <c r="Y36" s="64" t="str">
        <f>IF(AND('Mapa final'!$Y$13="Baja",'Mapa final'!$AA$13="Moderado"),CONCATENATE("R1C",'Mapa final'!$O$13),"")</f>
        <v/>
      </c>
      <c r="Z36" s="64" t="str">
        <f>IF(AND('Mapa final'!$Y$14="Baja",'Mapa final'!$AA$14="Moderado"),CONCATENATE("R1C",'Mapa final'!$O$14),"")</f>
        <v/>
      </c>
      <c r="AA36" s="65" t="str">
        <f>IF(AND('Mapa final'!$Y$15="Baja",'Mapa final'!$AA$15="Moderado"),CONCATENATE("R1C",'Mapa final'!$O$15),"")</f>
        <v/>
      </c>
      <c r="AB36" s="45" t="str">
        <f ca="1">IF(AND('Mapa final'!$Y$10="Baja",'Mapa final'!$AA$10="Mayor"),CONCATENATE("R1C",'Mapa final'!$O$10),"")</f>
        <v>R1C1</v>
      </c>
      <c r="AC36" s="46" t="str">
        <f>IF(AND('Mapa final'!$Y$11="Baja",'Mapa final'!$AA$11="Mayor"),CONCATENATE("R1C",'Mapa final'!$O$11),"")</f>
        <v/>
      </c>
      <c r="AD36" s="46" t="str">
        <f>IF(AND('Mapa final'!$Y$12="Baja",'Mapa final'!$AA$12="Mayor"),CONCATENATE("R1C",'Mapa final'!$O$12),"")</f>
        <v/>
      </c>
      <c r="AE36" s="46" t="str">
        <f>IF(AND('Mapa final'!$Y$13="Baja",'Mapa final'!$AA$13="Mayor"),CONCATENATE("R1C",'Mapa final'!$O$13),"")</f>
        <v/>
      </c>
      <c r="AF36" s="46" t="str">
        <f>IF(AND('Mapa final'!$Y$14="Baja",'Mapa final'!$AA$14="Mayor"),CONCATENATE("R1C",'Mapa final'!$O$14),"")</f>
        <v/>
      </c>
      <c r="AG36" s="47" t="str">
        <f>IF(AND('Mapa final'!$Y$15="Baja",'Mapa final'!$AA$15="Mayor"),CONCATENATE("R1C",'Mapa final'!$O$15),"")</f>
        <v/>
      </c>
      <c r="AH36" s="48" t="str">
        <f ca="1">IF(AND('Mapa final'!$Y$10="Baja",'Mapa final'!$AA$10="Catastrófico"),CONCATENATE("R1C",'Mapa final'!$O$10),"")</f>
        <v/>
      </c>
      <c r="AI36" s="49" t="str">
        <f>IF(AND('Mapa final'!$Y$11="Baja",'Mapa final'!$AA$11="Catastrófico"),CONCATENATE("R1C",'Mapa final'!$O$11),"")</f>
        <v/>
      </c>
      <c r="AJ36" s="49" t="str">
        <f>IF(AND('Mapa final'!$Y$12="Baja",'Mapa final'!$AA$12="Catastrófico"),CONCATENATE("R1C",'Mapa final'!$O$12),"")</f>
        <v/>
      </c>
      <c r="AK36" s="49" t="str">
        <f>IF(AND('Mapa final'!$Y$13="Baja",'Mapa final'!$AA$13="Catastrófico"),CONCATENATE("R1C",'Mapa final'!$O$13),"")</f>
        <v/>
      </c>
      <c r="AL36" s="49" t="str">
        <f>IF(AND('Mapa final'!$Y$14="Baja",'Mapa final'!$AA$14="Catastrófico"),CONCATENATE("R1C",'Mapa final'!$O$14),"")</f>
        <v/>
      </c>
      <c r="AM36" s="50" t="str">
        <f>IF(AND('Mapa final'!$Y$15="Baja",'Mapa final'!$AA$15="Catastrófico"),CONCATENATE("R1C",'Mapa final'!$O$15),"")</f>
        <v/>
      </c>
      <c r="AN36" s="82"/>
      <c r="AO36" s="515" t="s">
        <v>81</v>
      </c>
      <c r="AP36" s="516"/>
      <c r="AQ36" s="516"/>
      <c r="AR36" s="516"/>
      <c r="AS36" s="516"/>
      <c r="AT36" s="517"/>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446"/>
      <c r="C37" s="446"/>
      <c r="D37" s="447"/>
      <c r="E37" s="503"/>
      <c r="F37" s="488"/>
      <c r="G37" s="488"/>
      <c r="H37" s="488"/>
      <c r="I37" s="488"/>
      <c r="J37" s="75" t="str">
        <f ca="1">IF(AND('Mapa final'!$Y$16="Baja",'Mapa final'!$AA$16="Leve"),CONCATENATE("R2C",'Mapa final'!$O$16),"")</f>
        <v/>
      </c>
      <c r="K37" s="76" t="str">
        <f>IF(AND('Mapa final'!$Y$17="Baja",'Mapa final'!$AA$17="Leve"),CONCATENATE("R2C",'Mapa final'!$O$17),"")</f>
        <v/>
      </c>
      <c r="L37" s="76" t="str">
        <f>IF(AND('Mapa final'!$Y$18="Baja",'Mapa final'!$AA$18="Leve"),CONCATENATE("R2C",'Mapa final'!$O$18),"")</f>
        <v/>
      </c>
      <c r="M37" s="76" t="str">
        <f>IF(AND('Mapa final'!$Y$19="Baja",'Mapa final'!$AA$19="Leve"),CONCATENATE("R2C",'Mapa final'!$O$19),"")</f>
        <v/>
      </c>
      <c r="N37" s="76" t="str">
        <f>IF(AND('Mapa final'!$Y$20="Baja",'Mapa final'!$AA$20="Leve"),CONCATENATE("R2C",'Mapa final'!$O$20),"")</f>
        <v/>
      </c>
      <c r="O37" s="77" t="str">
        <f>IF(AND('Mapa final'!$Y$21="Baja",'Mapa final'!$AA$21="Leve"),CONCATENATE("R2C",'Mapa final'!$O$21),"")</f>
        <v/>
      </c>
      <c r="P37" s="66" t="str">
        <f ca="1">IF(AND('Mapa final'!$Y$16="Baja",'Mapa final'!$AA$16="Menor"),CONCATENATE("R2C",'Mapa final'!$O$16),"")</f>
        <v/>
      </c>
      <c r="Q37" s="67" t="str">
        <f>IF(AND('Mapa final'!$Y$17="Baja",'Mapa final'!$AA$17="Menor"),CONCATENATE("R2C",'Mapa final'!$O$17),"")</f>
        <v/>
      </c>
      <c r="R37" s="67" t="str">
        <f>IF(AND('Mapa final'!$Y$18="Baja",'Mapa final'!$AA$18="Menor"),CONCATENATE("R2C",'Mapa final'!$O$18),"")</f>
        <v/>
      </c>
      <c r="S37" s="67" t="str">
        <f>IF(AND('Mapa final'!$Y$19="Baja",'Mapa final'!$AA$19="Menor"),CONCATENATE("R2C",'Mapa final'!$O$19),"")</f>
        <v/>
      </c>
      <c r="T37" s="67" t="str">
        <f>IF(AND('Mapa final'!$Y$20="Baja",'Mapa final'!$AA$20="Menor"),CONCATENATE("R2C",'Mapa final'!$O$20),"")</f>
        <v/>
      </c>
      <c r="U37" s="68" t="str">
        <f>IF(AND('Mapa final'!$Y$21="Baja",'Mapa final'!$AA$21="Menor"),CONCATENATE("R2C",'Mapa final'!$O$21),"")</f>
        <v/>
      </c>
      <c r="V37" s="66" t="str">
        <f ca="1">IF(AND('Mapa final'!$Y$16="Baja",'Mapa final'!$AA$16="Moderado"),CONCATENATE("R2C",'Mapa final'!$O$16),"")</f>
        <v/>
      </c>
      <c r="W37" s="67" t="str">
        <f>IF(AND('Mapa final'!$Y$17="Baja",'Mapa final'!$AA$17="Moderado"),CONCATENATE("R2C",'Mapa final'!$O$17),"")</f>
        <v/>
      </c>
      <c r="X37" s="67" t="str">
        <f>IF(AND('Mapa final'!$Y$18="Baja",'Mapa final'!$AA$18="Moderado"),CONCATENATE("R2C",'Mapa final'!$O$18),"")</f>
        <v/>
      </c>
      <c r="Y37" s="67" t="str">
        <f>IF(AND('Mapa final'!$Y$19="Baja",'Mapa final'!$AA$19="Moderado"),CONCATENATE("R2C",'Mapa final'!$O$19),"")</f>
        <v/>
      </c>
      <c r="Z37" s="67" t="str">
        <f>IF(AND('Mapa final'!$Y$20="Baja",'Mapa final'!$AA$20="Moderado"),CONCATENATE("R2C",'Mapa final'!$O$20),"")</f>
        <v/>
      </c>
      <c r="AA37" s="68" t="str">
        <f>IF(AND('Mapa final'!$Y$21="Baja",'Mapa final'!$AA$21="Moderado"),CONCATENATE("R2C",'Mapa final'!$O$21),"")</f>
        <v/>
      </c>
      <c r="AB37" s="51" t="str">
        <f ca="1">IF(AND('Mapa final'!$Y$16="Baja",'Mapa final'!$AA$16="Mayor"),CONCATENATE("R2C",'Mapa final'!$O$16),"")</f>
        <v>R2C1</v>
      </c>
      <c r="AC37" s="52" t="str">
        <f>IF(AND('Mapa final'!$Y$17="Baja",'Mapa final'!$AA$17="Mayor"),CONCATENATE("R2C",'Mapa final'!$O$17),"")</f>
        <v/>
      </c>
      <c r="AD37" s="52" t="str">
        <f>IF(AND('Mapa final'!$Y$18="Baja",'Mapa final'!$AA$18="Mayor"),CONCATENATE("R2C",'Mapa final'!$O$18),"")</f>
        <v/>
      </c>
      <c r="AE37" s="52" t="str">
        <f>IF(AND('Mapa final'!$Y$19="Baja",'Mapa final'!$AA$19="Mayor"),CONCATENATE("R2C",'Mapa final'!$O$19),"")</f>
        <v/>
      </c>
      <c r="AF37" s="52" t="str">
        <f>IF(AND('Mapa final'!$Y$20="Baja",'Mapa final'!$AA$20="Mayor"),CONCATENATE("R2C",'Mapa final'!$O$20),"")</f>
        <v/>
      </c>
      <c r="AG37" s="53" t="str">
        <f>IF(AND('Mapa final'!$Y$21="Baja",'Mapa final'!$AA$21="Mayor"),CONCATENATE("R2C",'Mapa final'!$O$21),"")</f>
        <v/>
      </c>
      <c r="AH37" s="54" t="str">
        <f ca="1">IF(AND('Mapa final'!$Y$16="Baja",'Mapa final'!$AA$16="Catastrófico"),CONCATENATE("R2C",'Mapa final'!$O$16),"")</f>
        <v/>
      </c>
      <c r="AI37" s="55" t="str">
        <f>IF(AND('Mapa final'!$Y$17="Baja",'Mapa final'!$AA$17="Catastrófico"),CONCATENATE("R2C",'Mapa final'!$O$17),"")</f>
        <v/>
      </c>
      <c r="AJ37" s="55" t="str">
        <f>IF(AND('Mapa final'!$Y$18="Baja",'Mapa final'!$AA$18="Catastrófico"),CONCATENATE("R2C",'Mapa final'!$O$18),"")</f>
        <v/>
      </c>
      <c r="AK37" s="55" t="str">
        <f>IF(AND('Mapa final'!$Y$19="Baja",'Mapa final'!$AA$19="Catastrófico"),CONCATENATE("R2C",'Mapa final'!$O$19),"")</f>
        <v/>
      </c>
      <c r="AL37" s="55" t="str">
        <f>IF(AND('Mapa final'!$Y$20="Baja",'Mapa final'!$AA$20="Catastrófico"),CONCATENATE("R2C",'Mapa final'!$O$20),"")</f>
        <v/>
      </c>
      <c r="AM37" s="56" t="str">
        <f>IF(AND('Mapa final'!$Y$21="Baja",'Mapa final'!$AA$21="Catastrófico"),CONCATENATE("R2C",'Mapa final'!$O$21),"")</f>
        <v/>
      </c>
      <c r="AN37" s="82"/>
      <c r="AO37" s="518"/>
      <c r="AP37" s="519"/>
      <c r="AQ37" s="519"/>
      <c r="AR37" s="519"/>
      <c r="AS37" s="519"/>
      <c r="AT37" s="520"/>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446"/>
      <c r="C38" s="446"/>
      <c r="D38" s="447"/>
      <c r="E38" s="487"/>
      <c r="F38" s="488"/>
      <c r="G38" s="488"/>
      <c r="H38" s="488"/>
      <c r="I38" s="488"/>
      <c r="J38" s="75" t="str">
        <f ca="1">IF(AND('Mapa final'!$Y$22="Baja",'Mapa final'!$AA$22="Leve"),CONCATENATE("R3C",'Mapa final'!$O$22),"")</f>
        <v/>
      </c>
      <c r="K38" s="76" t="str">
        <f>IF(AND('Mapa final'!$Y$23="Baja",'Mapa final'!$AA$23="Leve"),CONCATENATE("R3C",'Mapa final'!$O$23),"")</f>
        <v/>
      </c>
      <c r="L38" s="76" t="str">
        <f>IF(AND('Mapa final'!$Y$24="Baja",'Mapa final'!$AA$24="Leve"),CONCATENATE("R3C",'Mapa final'!$O$24),"")</f>
        <v/>
      </c>
      <c r="M38" s="76" t="str">
        <f>IF(AND('Mapa final'!$Y$25="Baja",'Mapa final'!$AA$25="Leve"),CONCATENATE("R3C",'Mapa final'!$O$25),"")</f>
        <v/>
      </c>
      <c r="N38" s="76" t="str">
        <f>IF(AND('Mapa final'!$Y$26="Baja",'Mapa final'!$AA$26="Leve"),CONCATENATE("R3C",'Mapa final'!$O$26),"")</f>
        <v/>
      </c>
      <c r="O38" s="77" t="str">
        <f>IF(AND('Mapa final'!$Y$27="Baja",'Mapa final'!$AA$27="Leve"),CONCATENATE("R3C",'Mapa final'!$O$27),"")</f>
        <v/>
      </c>
      <c r="P38" s="66" t="str">
        <f ca="1">IF(AND('Mapa final'!$Y$22="Baja",'Mapa final'!$AA$22="Menor"),CONCATENATE("R3C",'Mapa final'!$O$22),"")</f>
        <v/>
      </c>
      <c r="Q38" s="67" t="str">
        <f>IF(AND('Mapa final'!$Y$23="Baja",'Mapa final'!$AA$23="Menor"),CONCATENATE("R3C",'Mapa final'!$O$23),"")</f>
        <v/>
      </c>
      <c r="R38" s="67" t="str">
        <f>IF(AND('Mapa final'!$Y$24="Baja",'Mapa final'!$AA$24="Menor"),CONCATENATE("R3C",'Mapa final'!$O$24),"")</f>
        <v/>
      </c>
      <c r="S38" s="67" t="str">
        <f>IF(AND('Mapa final'!$Y$25="Baja",'Mapa final'!$AA$25="Menor"),CONCATENATE("R3C",'Mapa final'!$O$25),"")</f>
        <v/>
      </c>
      <c r="T38" s="67" t="str">
        <f>IF(AND('Mapa final'!$Y$26="Baja",'Mapa final'!$AA$26="Menor"),CONCATENATE("R3C",'Mapa final'!$O$26),"")</f>
        <v/>
      </c>
      <c r="U38" s="68" t="str">
        <f>IF(AND('Mapa final'!$Y$27="Baja",'Mapa final'!$AA$27="Menor"),CONCATENATE("R3C",'Mapa final'!$O$27),"")</f>
        <v/>
      </c>
      <c r="V38" s="66" t="str">
        <f ca="1">IF(AND('Mapa final'!$Y$22="Baja",'Mapa final'!$AA$22="Moderado"),CONCATENATE("R3C",'Mapa final'!$O$22),"")</f>
        <v/>
      </c>
      <c r="W38" s="67" t="str">
        <f>IF(AND('Mapa final'!$Y$23="Baja",'Mapa final'!$AA$23="Moderado"),CONCATENATE("R3C",'Mapa final'!$O$23),"")</f>
        <v/>
      </c>
      <c r="X38" s="67" t="str">
        <f>IF(AND('Mapa final'!$Y$24="Baja",'Mapa final'!$AA$24="Moderado"),CONCATENATE("R3C",'Mapa final'!$O$24),"")</f>
        <v/>
      </c>
      <c r="Y38" s="67" t="str">
        <f>IF(AND('Mapa final'!$Y$25="Baja",'Mapa final'!$AA$25="Moderado"),CONCATENATE("R3C",'Mapa final'!$O$25),"")</f>
        <v/>
      </c>
      <c r="Z38" s="67" t="str">
        <f>IF(AND('Mapa final'!$Y$26="Baja",'Mapa final'!$AA$26="Moderado"),CONCATENATE("R3C",'Mapa final'!$O$26),"")</f>
        <v/>
      </c>
      <c r="AA38" s="68" t="str">
        <f>IF(AND('Mapa final'!$Y$27="Baja",'Mapa final'!$AA$27="Moderado"),CONCATENATE("R3C",'Mapa final'!$O$27),"")</f>
        <v/>
      </c>
      <c r="AB38" s="51" t="str">
        <f ca="1">IF(AND('Mapa final'!$Y$22="Baja",'Mapa final'!$AA$22="Mayor"),CONCATENATE("R3C",'Mapa final'!$O$22),"")</f>
        <v/>
      </c>
      <c r="AC38" s="52" t="str">
        <f>IF(AND('Mapa final'!$Y$23="Baja",'Mapa final'!$AA$23="Mayor"),CONCATENATE("R3C",'Mapa final'!$O$23),"")</f>
        <v/>
      </c>
      <c r="AD38" s="52" t="str">
        <f>IF(AND('Mapa final'!$Y$24="Baja",'Mapa final'!$AA$24="Mayor"),CONCATENATE("R3C",'Mapa final'!$O$24),"")</f>
        <v/>
      </c>
      <c r="AE38" s="52" t="str">
        <f>IF(AND('Mapa final'!$Y$25="Baja",'Mapa final'!$AA$25="Mayor"),CONCATENATE("R3C",'Mapa final'!$O$25),"")</f>
        <v/>
      </c>
      <c r="AF38" s="52" t="str">
        <f>IF(AND('Mapa final'!$Y$26="Baja",'Mapa final'!$AA$26="Mayor"),CONCATENATE("R3C",'Mapa final'!$O$26),"")</f>
        <v/>
      </c>
      <c r="AG38" s="53" t="str">
        <f>IF(AND('Mapa final'!$Y$27="Baja",'Mapa final'!$AA$27="Mayor"),CONCATENATE("R3C",'Mapa final'!$O$27),"")</f>
        <v/>
      </c>
      <c r="AH38" s="54" t="str">
        <f ca="1">IF(AND('Mapa final'!$Y$22="Baja",'Mapa final'!$AA$22="Catastrófico"),CONCATENATE("R3C",'Mapa final'!$O$22),"")</f>
        <v/>
      </c>
      <c r="AI38" s="55" t="str">
        <f>IF(AND('Mapa final'!$Y$23="Baja",'Mapa final'!$AA$23="Catastrófico"),CONCATENATE("R3C",'Mapa final'!$O$23),"")</f>
        <v/>
      </c>
      <c r="AJ38" s="55" t="str">
        <f>IF(AND('Mapa final'!$Y$24="Baja",'Mapa final'!$AA$24="Catastrófico"),CONCATENATE("R3C",'Mapa final'!$O$24),"")</f>
        <v/>
      </c>
      <c r="AK38" s="55" t="str">
        <f>IF(AND('Mapa final'!$Y$25="Baja",'Mapa final'!$AA$25="Catastrófico"),CONCATENATE("R3C",'Mapa final'!$O$25),"")</f>
        <v/>
      </c>
      <c r="AL38" s="55" t="str">
        <f>IF(AND('Mapa final'!$Y$26="Baja",'Mapa final'!$AA$26="Catastrófico"),CONCATENATE("R3C",'Mapa final'!$O$26),"")</f>
        <v/>
      </c>
      <c r="AM38" s="56" t="str">
        <f>IF(AND('Mapa final'!$Y$27="Baja",'Mapa final'!$AA$27="Catastrófico"),CONCATENATE("R3C",'Mapa final'!$O$27),"")</f>
        <v/>
      </c>
      <c r="AN38" s="82"/>
      <c r="AO38" s="518"/>
      <c r="AP38" s="519"/>
      <c r="AQ38" s="519"/>
      <c r="AR38" s="519"/>
      <c r="AS38" s="519"/>
      <c r="AT38" s="520"/>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446"/>
      <c r="C39" s="446"/>
      <c r="D39" s="447"/>
      <c r="E39" s="487"/>
      <c r="F39" s="488"/>
      <c r="G39" s="488"/>
      <c r="H39" s="488"/>
      <c r="I39" s="488"/>
      <c r="J39" s="75" t="str">
        <f ca="1">IF(AND('Mapa final'!$Y$28="Baja",'Mapa final'!$AA$28="Leve"),CONCATENATE("R4C",'Mapa final'!$O$28),"")</f>
        <v/>
      </c>
      <c r="K39" s="76" t="str">
        <f>IF(AND('Mapa final'!$Y$29="Baja",'Mapa final'!$AA$29="Leve"),CONCATENATE("R4C",'Mapa final'!$O$29),"")</f>
        <v/>
      </c>
      <c r="L39" s="76" t="str">
        <f>IF(AND('Mapa final'!$Y$30="Baja",'Mapa final'!$AA$30="Leve"),CONCATENATE("R4C",'Mapa final'!$O$30),"")</f>
        <v/>
      </c>
      <c r="M39" s="76" t="str">
        <f>IF(AND('Mapa final'!$Y$31="Baja",'Mapa final'!$AA$31="Leve"),CONCATENATE("R4C",'Mapa final'!$O$31),"")</f>
        <v/>
      </c>
      <c r="N39" s="76" t="str">
        <f>IF(AND('Mapa final'!$Y$32="Baja",'Mapa final'!$AA$32="Leve"),CONCATENATE("R4C",'Mapa final'!$O$32),"")</f>
        <v/>
      </c>
      <c r="O39" s="77" t="str">
        <f>IF(AND('Mapa final'!$Y$33="Baja",'Mapa final'!$AA$33="Leve"),CONCATENATE("R4C",'Mapa final'!$O$33),"")</f>
        <v/>
      </c>
      <c r="P39" s="66" t="str">
        <f ca="1">IF(AND('Mapa final'!$Y$28="Baja",'Mapa final'!$AA$28="Menor"),CONCATENATE("R4C",'Mapa final'!$O$28),"")</f>
        <v/>
      </c>
      <c r="Q39" s="67" t="str">
        <f>IF(AND('Mapa final'!$Y$29="Baja",'Mapa final'!$AA$29="Menor"),CONCATENATE("R4C",'Mapa final'!$O$29),"")</f>
        <v/>
      </c>
      <c r="R39" s="67" t="str">
        <f>IF(AND('Mapa final'!$Y$30="Baja",'Mapa final'!$AA$30="Menor"),CONCATENATE("R4C",'Mapa final'!$O$30),"")</f>
        <v/>
      </c>
      <c r="S39" s="67" t="str">
        <f>IF(AND('Mapa final'!$Y$31="Baja",'Mapa final'!$AA$31="Menor"),CONCATENATE("R4C",'Mapa final'!$O$31),"")</f>
        <v/>
      </c>
      <c r="T39" s="67" t="str">
        <f>IF(AND('Mapa final'!$Y$32="Baja",'Mapa final'!$AA$32="Menor"),CONCATENATE("R4C",'Mapa final'!$O$32),"")</f>
        <v/>
      </c>
      <c r="U39" s="68" t="str">
        <f>IF(AND('Mapa final'!$Y$33="Baja",'Mapa final'!$AA$33="Menor"),CONCATENATE("R4C",'Mapa final'!$O$33),"")</f>
        <v/>
      </c>
      <c r="V39" s="66" t="str">
        <f ca="1">IF(AND('Mapa final'!$Y$28="Baja",'Mapa final'!$AA$28="Moderado"),CONCATENATE("R4C",'Mapa final'!$O$28),"")</f>
        <v/>
      </c>
      <c r="W39" s="67" t="str">
        <f>IF(AND('Mapa final'!$Y$29="Baja",'Mapa final'!$AA$29="Moderado"),CONCATENATE("R4C",'Mapa final'!$O$29),"")</f>
        <v/>
      </c>
      <c r="X39" s="67" t="str">
        <f>IF(AND('Mapa final'!$Y$30="Baja",'Mapa final'!$AA$30="Moderado"),CONCATENATE("R4C",'Mapa final'!$O$30),"")</f>
        <v/>
      </c>
      <c r="Y39" s="67" t="str">
        <f>IF(AND('Mapa final'!$Y$31="Baja",'Mapa final'!$AA$31="Moderado"),CONCATENATE("R4C",'Mapa final'!$O$31),"")</f>
        <v/>
      </c>
      <c r="Z39" s="67" t="str">
        <f>IF(AND('Mapa final'!$Y$32="Baja",'Mapa final'!$AA$32="Moderado"),CONCATENATE("R4C",'Mapa final'!$O$32),"")</f>
        <v/>
      </c>
      <c r="AA39" s="68" t="str">
        <f>IF(AND('Mapa final'!$Y$33="Baja",'Mapa final'!$AA$33="Moderado"),CONCATENATE("R4C",'Mapa final'!$O$33),"")</f>
        <v/>
      </c>
      <c r="AB39" s="51" t="str">
        <f ca="1">IF(AND('Mapa final'!$Y$28="Baja",'Mapa final'!$AA$28="Mayor"),CONCATENATE("R4C",'Mapa final'!$O$28),"")</f>
        <v/>
      </c>
      <c r="AC39" s="52" t="str">
        <f>IF(AND('Mapa final'!$Y$29="Baja",'Mapa final'!$AA$29="Mayor"),CONCATENATE("R4C",'Mapa final'!$O$29),"")</f>
        <v/>
      </c>
      <c r="AD39" s="52" t="str">
        <f>IF(AND('Mapa final'!$Y$30="Baja",'Mapa final'!$AA$30="Mayor"),CONCATENATE("R4C",'Mapa final'!$O$30),"")</f>
        <v/>
      </c>
      <c r="AE39" s="52" t="str">
        <f>IF(AND('Mapa final'!$Y$31="Baja",'Mapa final'!$AA$31="Mayor"),CONCATENATE("R4C",'Mapa final'!$O$31),"")</f>
        <v/>
      </c>
      <c r="AF39" s="52" t="str">
        <f>IF(AND('Mapa final'!$Y$32="Baja",'Mapa final'!$AA$32="Mayor"),CONCATENATE("R4C",'Mapa final'!$O$32),"")</f>
        <v/>
      </c>
      <c r="AG39" s="53" t="str">
        <f>IF(AND('Mapa final'!$Y$33="Baja",'Mapa final'!$AA$33="Mayor"),CONCATENATE("R4C",'Mapa final'!$O$33),"")</f>
        <v/>
      </c>
      <c r="AH39" s="54" t="str">
        <f ca="1">IF(AND('Mapa final'!$Y$28="Baja",'Mapa final'!$AA$28="Catastrófico"),CONCATENATE("R4C",'Mapa final'!$O$28),"")</f>
        <v/>
      </c>
      <c r="AI39" s="55" t="str">
        <f>IF(AND('Mapa final'!$Y$29="Baja",'Mapa final'!$AA$29="Catastrófico"),CONCATENATE("R4C",'Mapa final'!$O$29),"")</f>
        <v/>
      </c>
      <c r="AJ39" s="55" t="str">
        <f>IF(AND('Mapa final'!$Y$30="Baja",'Mapa final'!$AA$30="Catastrófico"),CONCATENATE("R4C",'Mapa final'!$O$30),"")</f>
        <v/>
      </c>
      <c r="AK39" s="55" t="str">
        <f>IF(AND('Mapa final'!$Y$31="Baja",'Mapa final'!$AA$31="Catastrófico"),CONCATENATE("R4C",'Mapa final'!$O$31),"")</f>
        <v/>
      </c>
      <c r="AL39" s="55" t="str">
        <f>IF(AND('Mapa final'!$Y$32="Baja",'Mapa final'!$AA$32="Catastrófico"),CONCATENATE("R4C",'Mapa final'!$O$32),"")</f>
        <v/>
      </c>
      <c r="AM39" s="56" t="str">
        <f>IF(AND('Mapa final'!$Y$33="Baja",'Mapa final'!$AA$33="Catastrófico"),CONCATENATE("R4C",'Mapa final'!$O$33),"")</f>
        <v/>
      </c>
      <c r="AN39" s="82"/>
      <c r="AO39" s="518"/>
      <c r="AP39" s="519"/>
      <c r="AQ39" s="519"/>
      <c r="AR39" s="519"/>
      <c r="AS39" s="519"/>
      <c r="AT39" s="520"/>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446"/>
      <c r="C40" s="446"/>
      <c r="D40" s="447"/>
      <c r="E40" s="487"/>
      <c r="F40" s="488"/>
      <c r="G40" s="488"/>
      <c r="H40" s="488"/>
      <c r="I40" s="488"/>
      <c r="J40" s="75" t="str">
        <f ca="1">IF(AND('Mapa final'!$Y$34="Baja",'Mapa final'!$AA$34="Leve"),CONCATENATE("R5C",'Mapa final'!$O$34),"")</f>
        <v/>
      </c>
      <c r="K40" s="76" t="e">
        <f>IF(AND('Mapa final'!#REF!="Baja",'Mapa final'!#REF!="Leve"),CONCATENATE("R5C",'Mapa final'!#REF!),"")</f>
        <v>#REF!</v>
      </c>
      <c r="L40" s="76" t="e">
        <f>IF(AND('Mapa final'!#REF!="Baja",'Mapa final'!#REF!="Leve"),CONCATENATE("R5C",'Mapa final'!#REF!),"")</f>
        <v>#REF!</v>
      </c>
      <c r="M40" s="76" t="e">
        <f>IF(AND('Mapa final'!#REF!="Baja",'Mapa final'!#REF!="Leve"),CONCATENATE("R5C",'Mapa final'!#REF!),"")</f>
        <v>#REF!</v>
      </c>
      <c r="N40" s="76" t="str">
        <f>IF(AND('Mapa final'!$Y$35="Baja",'Mapa final'!$AA$35="Leve"),CONCATENATE("R5C",'Mapa final'!$O$35),"")</f>
        <v/>
      </c>
      <c r="O40" s="77" t="str">
        <f>IF(AND('Mapa final'!$Y$36="Baja",'Mapa final'!$AA$36="Leve"),CONCATENATE("R5C",'Mapa final'!$O$36),"")</f>
        <v/>
      </c>
      <c r="P40" s="66" t="str">
        <f ca="1">IF(AND('Mapa final'!$Y$34="Baja",'Mapa final'!$AA$34="Menor"),CONCATENATE("R5C",'Mapa final'!$O$34),"")</f>
        <v/>
      </c>
      <c r="Q40" s="67" t="e">
        <f>IF(AND('Mapa final'!#REF!="Baja",'Mapa final'!#REF!="Menor"),CONCATENATE("R5C",'Mapa final'!#REF!),"")</f>
        <v>#REF!</v>
      </c>
      <c r="R40" s="67" t="e">
        <f>IF(AND('Mapa final'!#REF!="Baja",'Mapa final'!#REF!="Menor"),CONCATENATE("R5C",'Mapa final'!#REF!),"")</f>
        <v>#REF!</v>
      </c>
      <c r="S40" s="67" t="e">
        <f>IF(AND('Mapa final'!#REF!="Baja",'Mapa final'!#REF!="Menor"),CONCATENATE("R5C",'Mapa final'!#REF!),"")</f>
        <v>#REF!</v>
      </c>
      <c r="T40" s="67" t="str">
        <f>IF(AND('Mapa final'!$Y$35="Baja",'Mapa final'!$AA$35="Menor"),CONCATENATE("R5C",'Mapa final'!$O$35),"")</f>
        <v/>
      </c>
      <c r="U40" s="68" t="str">
        <f>IF(AND('Mapa final'!$Y$36="Baja",'Mapa final'!$AA$36="Menor"),CONCATENATE("R5C",'Mapa final'!$O$36),"")</f>
        <v/>
      </c>
      <c r="V40" s="66" t="str">
        <f ca="1">IF(AND('Mapa final'!$Y$34="Baja",'Mapa final'!$AA$34="Moderado"),CONCATENATE("R5C",'Mapa final'!$O$34),"")</f>
        <v/>
      </c>
      <c r="W40" s="67" t="e">
        <f>IF(AND('Mapa final'!#REF!="Baja",'Mapa final'!#REF!="Moderado"),CONCATENATE("R5C",'Mapa final'!#REF!),"")</f>
        <v>#REF!</v>
      </c>
      <c r="X40" s="67" t="e">
        <f>IF(AND('Mapa final'!#REF!="Baja",'Mapa final'!#REF!="Moderado"),CONCATENATE("R5C",'Mapa final'!#REF!),"")</f>
        <v>#REF!</v>
      </c>
      <c r="Y40" s="67" t="e">
        <f>IF(AND('Mapa final'!#REF!="Baja",'Mapa final'!#REF!="Moderado"),CONCATENATE("R5C",'Mapa final'!#REF!),"")</f>
        <v>#REF!</v>
      </c>
      <c r="Z40" s="67" t="str">
        <f>IF(AND('Mapa final'!$Y$35="Baja",'Mapa final'!$AA$35="Moderado"),CONCATENATE("R5C",'Mapa final'!$O$35),"")</f>
        <v/>
      </c>
      <c r="AA40" s="68" t="str">
        <f>IF(AND('Mapa final'!$Y$36="Baja",'Mapa final'!$AA$36="Moderado"),CONCATENATE("R5C",'Mapa final'!$O$36),"")</f>
        <v/>
      </c>
      <c r="AB40" s="51" t="str">
        <f ca="1">IF(AND('Mapa final'!$Y$34="Baja",'Mapa final'!$AA$34="Mayor"),CONCATENATE("R5C",'Mapa final'!$O$34),"")</f>
        <v/>
      </c>
      <c r="AC40" s="52" t="e">
        <f>IF(AND('Mapa final'!#REF!="Baja",'Mapa final'!#REF!="Mayor"),CONCATENATE("R5C",'Mapa final'!#REF!),"")</f>
        <v>#REF!</v>
      </c>
      <c r="AD40" s="52" t="e">
        <f>IF(AND('Mapa final'!#REF!="Baja",'Mapa final'!#REF!="Mayor"),CONCATENATE("R5C",'Mapa final'!#REF!),"")</f>
        <v>#REF!</v>
      </c>
      <c r="AE40" s="52" t="e">
        <f>IF(AND('Mapa final'!#REF!="Baja",'Mapa final'!#REF!="Mayor"),CONCATENATE("R5C",'Mapa final'!#REF!),"")</f>
        <v>#REF!</v>
      </c>
      <c r="AF40" s="52" t="str">
        <f>IF(AND('Mapa final'!$Y$35="Baja",'Mapa final'!$AA$35="Mayor"),CONCATENATE("R5C",'Mapa final'!$O$35),"")</f>
        <v/>
      </c>
      <c r="AG40" s="53" t="str">
        <f>IF(AND('Mapa final'!$Y$36="Baja",'Mapa final'!$AA$36="Mayor"),CONCATENATE("R5C",'Mapa final'!$O$36),"")</f>
        <v/>
      </c>
      <c r="AH40" s="54" t="str">
        <f ca="1">IF(AND('Mapa final'!$Y$34="Baja",'Mapa final'!$AA$34="Catastrófico"),CONCATENATE("R5C",'Mapa final'!$O$34),"")</f>
        <v>R5C1</v>
      </c>
      <c r="AI40" s="55" t="e">
        <f>IF(AND('Mapa final'!#REF!="Baja",'Mapa final'!#REF!="Catastrófico"),CONCATENATE("R5C",'Mapa final'!#REF!),"")</f>
        <v>#REF!</v>
      </c>
      <c r="AJ40" s="55" t="e">
        <f>IF(AND('Mapa final'!#REF!="Baja",'Mapa final'!#REF!="Catastrófico"),CONCATENATE("R5C",'Mapa final'!#REF!),"")</f>
        <v>#REF!</v>
      </c>
      <c r="AK40" s="55" t="e">
        <f>IF(AND('Mapa final'!#REF!="Baja",'Mapa final'!#REF!="Catastrófico"),CONCATENATE("R5C",'Mapa final'!#REF!),"")</f>
        <v>#REF!</v>
      </c>
      <c r="AL40" s="55" t="str">
        <f>IF(AND('Mapa final'!$Y$35="Baja",'Mapa final'!$AA$35="Catastrófico"),CONCATENATE("R5C",'Mapa final'!$O$35),"")</f>
        <v/>
      </c>
      <c r="AM40" s="56" t="str">
        <f>IF(AND('Mapa final'!$Y$36="Baja",'Mapa final'!$AA$36="Catastrófico"),CONCATENATE("R5C",'Mapa final'!$O$36),"")</f>
        <v/>
      </c>
      <c r="AN40" s="82"/>
      <c r="AO40" s="518"/>
      <c r="AP40" s="519"/>
      <c r="AQ40" s="519"/>
      <c r="AR40" s="519"/>
      <c r="AS40" s="519"/>
      <c r="AT40" s="520"/>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446"/>
      <c r="C41" s="446"/>
      <c r="D41" s="447"/>
      <c r="E41" s="487"/>
      <c r="F41" s="488"/>
      <c r="G41" s="488"/>
      <c r="H41" s="488"/>
      <c r="I41" s="488"/>
      <c r="J41" s="75" t="str">
        <f ca="1">IF(AND('Mapa final'!$Y$37="Baja",'Mapa final'!$AA$37="Leve"),CONCATENATE("R6C",'Mapa final'!$O$37),"")</f>
        <v/>
      </c>
      <c r="K41" s="76" t="str">
        <f>IF(AND('Mapa final'!$Y$38="Baja",'Mapa final'!$AA$38="Leve"),CONCATENATE("R6C",'Mapa final'!$O$38),"")</f>
        <v/>
      </c>
      <c r="L41" s="76" t="str">
        <f>IF(AND('Mapa final'!$Y$39="Baja",'Mapa final'!$AA$39="Leve"),CONCATENATE("R6C",'Mapa final'!$O$39),"")</f>
        <v/>
      </c>
      <c r="M41" s="76" t="str">
        <f>IF(AND('Mapa final'!$Y$40="Baja",'Mapa final'!$AA$40="Leve"),CONCATENATE("R6C",'Mapa final'!$O$40),"")</f>
        <v/>
      </c>
      <c r="N41" s="76" t="str">
        <f>IF(AND('Mapa final'!$Y$41="Baja",'Mapa final'!$AA$41="Leve"),CONCATENATE("R6C",'Mapa final'!$O$41),"")</f>
        <v/>
      </c>
      <c r="O41" s="77" t="str">
        <f>IF(AND('Mapa final'!$Y$42="Baja",'Mapa final'!$AA$42="Leve"),CONCATENATE("R6C",'Mapa final'!$O$42),"")</f>
        <v/>
      </c>
      <c r="P41" s="66" t="str">
        <f ca="1">IF(AND('Mapa final'!$Y$37="Baja",'Mapa final'!$AA$37="Menor"),CONCATENATE("R6C",'Mapa final'!$O$37),"")</f>
        <v/>
      </c>
      <c r="Q41" s="67" t="str">
        <f>IF(AND('Mapa final'!$Y$38="Baja",'Mapa final'!$AA$38="Menor"),CONCATENATE("R6C",'Mapa final'!$O$38),"")</f>
        <v/>
      </c>
      <c r="R41" s="67" t="str">
        <f>IF(AND('Mapa final'!$Y$39="Baja",'Mapa final'!$AA$39="Menor"),CONCATENATE("R6C",'Mapa final'!$O$39),"")</f>
        <v/>
      </c>
      <c r="S41" s="67" t="str">
        <f>IF(AND('Mapa final'!$Y$40="Baja",'Mapa final'!$AA$40="Menor"),CONCATENATE("R6C",'Mapa final'!$O$40),"")</f>
        <v/>
      </c>
      <c r="T41" s="67" t="str">
        <f>IF(AND('Mapa final'!$Y$41="Baja",'Mapa final'!$AA$41="Menor"),CONCATENATE("R6C",'Mapa final'!$O$41),"")</f>
        <v/>
      </c>
      <c r="U41" s="68" t="str">
        <f>IF(AND('Mapa final'!$Y$42="Baja",'Mapa final'!$AA$42="Menor"),CONCATENATE("R6C",'Mapa final'!$O$42),"")</f>
        <v/>
      </c>
      <c r="V41" s="66" t="str">
        <f ca="1">IF(AND('Mapa final'!$Y$37="Baja",'Mapa final'!$AA$37="Moderado"),CONCATENATE("R6C",'Mapa final'!$O$37),"")</f>
        <v>R6C1</v>
      </c>
      <c r="W41" s="67" t="str">
        <f>IF(AND('Mapa final'!$Y$38="Baja",'Mapa final'!$AA$38="Moderado"),CONCATENATE("R6C",'Mapa final'!$O$38),"")</f>
        <v/>
      </c>
      <c r="X41" s="67" t="str">
        <f>IF(AND('Mapa final'!$Y$39="Baja",'Mapa final'!$AA$39="Moderado"),CONCATENATE("R6C",'Mapa final'!$O$39),"")</f>
        <v/>
      </c>
      <c r="Y41" s="67" t="str">
        <f>IF(AND('Mapa final'!$Y$40="Baja",'Mapa final'!$AA$40="Moderado"),CONCATENATE("R6C",'Mapa final'!$O$40),"")</f>
        <v/>
      </c>
      <c r="Z41" s="67" t="str">
        <f>IF(AND('Mapa final'!$Y$41="Baja",'Mapa final'!$AA$41="Moderado"),CONCATENATE("R6C",'Mapa final'!$O$41),"")</f>
        <v/>
      </c>
      <c r="AA41" s="68" t="str">
        <f>IF(AND('Mapa final'!$Y$42="Baja",'Mapa final'!$AA$42="Moderado"),CONCATENATE("R6C",'Mapa final'!$O$42),"")</f>
        <v/>
      </c>
      <c r="AB41" s="51" t="str">
        <f ca="1">IF(AND('Mapa final'!$Y$37="Baja",'Mapa final'!$AA$37="Mayor"),CONCATENATE("R6C",'Mapa final'!$O$37),"")</f>
        <v/>
      </c>
      <c r="AC41" s="52" t="str">
        <f>IF(AND('Mapa final'!$Y$38="Baja",'Mapa final'!$AA$38="Mayor"),CONCATENATE("R6C",'Mapa final'!$O$38),"")</f>
        <v/>
      </c>
      <c r="AD41" s="52" t="str">
        <f>IF(AND('Mapa final'!$Y$39="Baja",'Mapa final'!$AA$39="Mayor"),CONCATENATE("R6C",'Mapa final'!$O$39),"")</f>
        <v/>
      </c>
      <c r="AE41" s="52" t="str">
        <f>IF(AND('Mapa final'!$Y$40="Baja",'Mapa final'!$AA$40="Mayor"),CONCATENATE("R6C",'Mapa final'!$O$40),"")</f>
        <v/>
      </c>
      <c r="AF41" s="52" t="str">
        <f>IF(AND('Mapa final'!$Y$41="Baja",'Mapa final'!$AA$41="Mayor"),CONCATENATE("R6C",'Mapa final'!$O$41),"")</f>
        <v/>
      </c>
      <c r="AG41" s="53" t="str">
        <f>IF(AND('Mapa final'!$Y$42="Baja",'Mapa final'!$AA$42="Mayor"),CONCATENATE("R6C",'Mapa final'!$O$42),"")</f>
        <v/>
      </c>
      <c r="AH41" s="54" t="str">
        <f ca="1">IF(AND('Mapa final'!$Y$37="Baja",'Mapa final'!$AA$37="Catastrófico"),CONCATENATE("R6C",'Mapa final'!$O$37),"")</f>
        <v/>
      </c>
      <c r="AI41" s="55" t="str">
        <f>IF(AND('Mapa final'!$Y$38="Baja",'Mapa final'!$AA$38="Catastrófico"),CONCATENATE("R6C",'Mapa final'!$O$38),"")</f>
        <v/>
      </c>
      <c r="AJ41" s="55" t="str">
        <f>IF(AND('Mapa final'!$Y$39="Baja",'Mapa final'!$AA$39="Catastrófico"),CONCATENATE("R6C",'Mapa final'!$O$39),"")</f>
        <v/>
      </c>
      <c r="AK41" s="55" t="str">
        <f>IF(AND('Mapa final'!$Y$40="Baja",'Mapa final'!$AA$40="Catastrófico"),CONCATENATE("R6C",'Mapa final'!$O$40),"")</f>
        <v/>
      </c>
      <c r="AL41" s="55" t="str">
        <f>IF(AND('Mapa final'!$Y$41="Baja",'Mapa final'!$AA$41="Catastrófico"),CONCATENATE("R6C",'Mapa final'!$O$41),"")</f>
        <v/>
      </c>
      <c r="AM41" s="56" t="str">
        <f>IF(AND('Mapa final'!$Y$42="Baja",'Mapa final'!$AA$42="Catastrófico"),CONCATENATE("R6C",'Mapa final'!$O$42),"")</f>
        <v/>
      </c>
      <c r="AN41" s="82"/>
      <c r="AO41" s="518"/>
      <c r="AP41" s="519"/>
      <c r="AQ41" s="519"/>
      <c r="AR41" s="519"/>
      <c r="AS41" s="519"/>
      <c r="AT41" s="520"/>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446"/>
      <c r="C42" s="446"/>
      <c r="D42" s="447"/>
      <c r="E42" s="487"/>
      <c r="F42" s="488"/>
      <c r="G42" s="488"/>
      <c r="H42" s="488"/>
      <c r="I42" s="488"/>
      <c r="J42" s="75" t="str">
        <f ca="1">IF(AND('Mapa final'!$Y$43="Baja",'Mapa final'!$AA$43="Leve"),CONCATENATE("R7C",'Mapa final'!$O$43),"")</f>
        <v/>
      </c>
      <c r="K42" s="76" t="str">
        <f>IF(AND('Mapa final'!$Y$44="Baja",'Mapa final'!$AA$44="Leve"),CONCATENATE("R7C",'Mapa final'!$O$44),"")</f>
        <v/>
      </c>
      <c r="L42" s="76" t="str">
        <f>IF(AND('Mapa final'!$Y$45="Baja",'Mapa final'!$AA$45="Leve"),CONCATENATE("R7C",'Mapa final'!$O$45),"")</f>
        <v/>
      </c>
      <c r="M42" s="76" t="str">
        <f>IF(AND('Mapa final'!$Y$46="Baja",'Mapa final'!$AA$46="Leve"),CONCATENATE("R7C",'Mapa final'!$O$46),"")</f>
        <v/>
      </c>
      <c r="N42" s="76" t="str">
        <f>IF(AND('Mapa final'!$Y$47="Baja",'Mapa final'!$AA$47="Leve"),CONCATENATE("R7C",'Mapa final'!$O$47),"")</f>
        <v/>
      </c>
      <c r="O42" s="77" t="str">
        <f>IF(AND('Mapa final'!$Y$48="Baja",'Mapa final'!$AA$48="Leve"),CONCATENATE("R7C",'Mapa final'!$O$48),"")</f>
        <v/>
      </c>
      <c r="P42" s="66" t="str">
        <f ca="1">IF(AND('Mapa final'!$Y$43="Baja",'Mapa final'!$AA$43="Menor"),CONCATENATE("R7C",'Mapa final'!$O$43),"")</f>
        <v/>
      </c>
      <c r="Q42" s="67" t="str">
        <f>IF(AND('Mapa final'!$Y$44="Baja",'Mapa final'!$AA$44="Menor"),CONCATENATE("R7C",'Mapa final'!$O$44),"")</f>
        <v/>
      </c>
      <c r="R42" s="67" t="str">
        <f>IF(AND('Mapa final'!$Y$45="Baja",'Mapa final'!$AA$45="Menor"),CONCATENATE("R7C",'Mapa final'!$O$45),"")</f>
        <v/>
      </c>
      <c r="S42" s="67" t="str">
        <f>IF(AND('Mapa final'!$Y$46="Baja",'Mapa final'!$AA$46="Menor"),CONCATENATE("R7C",'Mapa final'!$O$46),"")</f>
        <v/>
      </c>
      <c r="T42" s="67" t="str">
        <f>IF(AND('Mapa final'!$Y$47="Baja",'Mapa final'!$AA$47="Menor"),CONCATENATE("R7C",'Mapa final'!$O$47),"")</f>
        <v/>
      </c>
      <c r="U42" s="68" t="str">
        <f>IF(AND('Mapa final'!$Y$48="Baja",'Mapa final'!$AA$48="Menor"),CONCATENATE("R7C",'Mapa final'!$O$48),"")</f>
        <v/>
      </c>
      <c r="V42" s="66" t="str">
        <f ca="1">IF(AND('Mapa final'!$Y$43="Baja",'Mapa final'!$AA$43="Moderado"),CONCATENATE("R7C",'Mapa final'!$O$43),"")</f>
        <v>R7C1</v>
      </c>
      <c r="W42" s="67" t="str">
        <f>IF(AND('Mapa final'!$Y$44="Baja",'Mapa final'!$AA$44="Moderado"),CONCATENATE("R7C",'Mapa final'!$O$44),"")</f>
        <v/>
      </c>
      <c r="X42" s="67" t="str">
        <f>IF(AND('Mapa final'!$Y$45="Baja",'Mapa final'!$AA$45="Moderado"),CONCATENATE("R7C",'Mapa final'!$O$45),"")</f>
        <v/>
      </c>
      <c r="Y42" s="67" t="str">
        <f>IF(AND('Mapa final'!$Y$46="Baja",'Mapa final'!$AA$46="Moderado"),CONCATENATE("R7C",'Mapa final'!$O$46),"")</f>
        <v/>
      </c>
      <c r="Z42" s="67" t="str">
        <f>IF(AND('Mapa final'!$Y$47="Baja",'Mapa final'!$AA$47="Moderado"),CONCATENATE("R7C",'Mapa final'!$O$47),"")</f>
        <v/>
      </c>
      <c r="AA42" s="68" t="str">
        <f>IF(AND('Mapa final'!$Y$48="Baja",'Mapa final'!$AA$48="Moderado"),CONCATENATE("R7C",'Mapa final'!$O$48),"")</f>
        <v/>
      </c>
      <c r="AB42" s="51" t="str">
        <f ca="1">IF(AND('Mapa final'!$Y$43="Baja",'Mapa final'!$AA$43="Mayor"),CONCATENATE("R7C",'Mapa final'!$O$43),"")</f>
        <v/>
      </c>
      <c r="AC42" s="52" t="str">
        <f>IF(AND('Mapa final'!$Y$44="Baja",'Mapa final'!$AA$44="Mayor"),CONCATENATE("R7C",'Mapa final'!$O$44),"")</f>
        <v/>
      </c>
      <c r="AD42" s="52" t="str">
        <f>IF(AND('Mapa final'!$Y$45="Baja",'Mapa final'!$AA$45="Mayor"),CONCATENATE("R7C",'Mapa final'!$O$45),"")</f>
        <v/>
      </c>
      <c r="AE42" s="52" t="str">
        <f>IF(AND('Mapa final'!$Y$46="Baja",'Mapa final'!$AA$46="Mayor"),CONCATENATE("R7C",'Mapa final'!$O$46),"")</f>
        <v/>
      </c>
      <c r="AF42" s="52" t="str">
        <f>IF(AND('Mapa final'!$Y$47="Baja",'Mapa final'!$AA$47="Mayor"),CONCATENATE("R7C",'Mapa final'!$O$47),"")</f>
        <v/>
      </c>
      <c r="AG42" s="53" t="str">
        <f>IF(AND('Mapa final'!$Y$48="Baja",'Mapa final'!$AA$48="Mayor"),CONCATENATE("R7C",'Mapa final'!$O$48),"")</f>
        <v/>
      </c>
      <c r="AH42" s="54" t="str">
        <f ca="1">IF(AND('Mapa final'!$Y$43="Baja",'Mapa final'!$AA$43="Catastrófico"),CONCATENATE("R7C",'Mapa final'!$O$43),"")</f>
        <v/>
      </c>
      <c r="AI42" s="55" t="str">
        <f>IF(AND('Mapa final'!$Y$44="Baja",'Mapa final'!$AA$44="Catastrófico"),CONCATENATE("R7C",'Mapa final'!$O$44),"")</f>
        <v/>
      </c>
      <c r="AJ42" s="55" t="str">
        <f>IF(AND('Mapa final'!$Y$45="Baja",'Mapa final'!$AA$45="Catastrófico"),CONCATENATE("R7C",'Mapa final'!$O$45),"")</f>
        <v/>
      </c>
      <c r="AK42" s="55" t="str">
        <f>IF(AND('Mapa final'!$Y$46="Baja",'Mapa final'!$AA$46="Catastrófico"),CONCATENATE("R7C",'Mapa final'!$O$46),"")</f>
        <v/>
      </c>
      <c r="AL42" s="55" t="str">
        <f>IF(AND('Mapa final'!$Y$47="Baja",'Mapa final'!$AA$47="Catastrófico"),CONCATENATE("R7C",'Mapa final'!$O$47),"")</f>
        <v/>
      </c>
      <c r="AM42" s="56" t="str">
        <f>IF(AND('Mapa final'!$Y$48="Baja",'Mapa final'!$AA$48="Catastrófico"),CONCATENATE("R7C",'Mapa final'!$O$48),"")</f>
        <v/>
      </c>
      <c r="AN42" s="82"/>
      <c r="AO42" s="518"/>
      <c r="AP42" s="519"/>
      <c r="AQ42" s="519"/>
      <c r="AR42" s="519"/>
      <c r="AS42" s="519"/>
      <c r="AT42" s="520"/>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446"/>
      <c r="C43" s="446"/>
      <c r="D43" s="447"/>
      <c r="E43" s="487"/>
      <c r="F43" s="488"/>
      <c r="G43" s="488"/>
      <c r="H43" s="488"/>
      <c r="I43" s="488"/>
      <c r="J43" s="75" t="str">
        <f ca="1">IF(AND('Mapa final'!$Y$49="Baja",'Mapa final'!$AA$49="Leve"),CONCATENATE("R8C",'Mapa final'!$O$49),"")</f>
        <v/>
      </c>
      <c r="K43" s="76" t="str">
        <f>IF(AND('Mapa final'!$Y$50="Baja",'Mapa final'!$AA$50="Leve"),CONCATENATE("R8C",'Mapa final'!$O$50),"")</f>
        <v/>
      </c>
      <c r="L43" s="76" t="str">
        <f>IF(AND('Mapa final'!$Y$51="Baja",'Mapa final'!$AA$51="Leve"),CONCATENATE("R8C",'Mapa final'!$O$51),"")</f>
        <v/>
      </c>
      <c r="M43" s="76" t="str">
        <f ca="1">IF(AND('Mapa final'!$Y$52="Baja",'Mapa final'!$AA$52="Leve"),CONCATENATE("R8C",'Mapa final'!$O$52),"")</f>
        <v/>
      </c>
      <c r="N43" s="76" t="str">
        <f>IF(AND('Mapa final'!$Y$53="Baja",'Mapa final'!$AA$53="Leve"),CONCATENATE("R8C",'Mapa final'!$O$53),"")</f>
        <v/>
      </c>
      <c r="O43" s="77" t="str">
        <f>IF(AND('Mapa final'!$Y$54="Baja",'Mapa final'!$AA$54="Leve"),CONCATENATE("R8C",'Mapa final'!$O$54),"")</f>
        <v/>
      </c>
      <c r="P43" s="66" t="str">
        <f ca="1">IF(AND('Mapa final'!$Y$49="Baja",'Mapa final'!$AA$49="Menor"),CONCATENATE("R8C",'Mapa final'!$O$49),"")</f>
        <v>R8C1</v>
      </c>
      <c r="Q43" s="67" t="str">
        <f>IF(AND('Mapa final'!$Y$50="Baja",'Mapa final'!$AA$50="Menor"),CONCATENATE("R8C",'Mapa final'!$O$50),"")</f>
        <v/>
      </c>
      <c r="R43" s="67" t="str">
        <f>IF(AND('Mapa final'!$Y$51="Baja",'Mapa final'!$AA$51="Menor"),CONCATENATE("R8C",'Mapa final'!$O$51),"")</f>
        <v/>
      </c>
      <c r="S43" s="67" t="str">
        <f ca="1">IF(AND('Mapa final'!$Y$52="Baja",'Mapa final'!$AA$52="Menor"),CONCATENATE("R8C",'Mapa final'!$O$52),"")</f>
        <v/>
      </c>
      <c r="T43" s="67" t="str">
        <f>IF(AND('Mapa final'!$Y$53="Baja",'Mapa final'!$AA$53="Menor"),CONCATENATE("R8C",'Mapa final'!$O$53),"")</f>
        <v/>
      </c>
      <c r="U43" s="68" t="str">
        <f>IF(AND('Mapa final'!$Y$54="Baja",'Mapa final'!$AA$54="Menor"),CONCATENATE("R8C",'Mapa final'!$O$54),"")</f>
        <v/>
      </c>
      <c r="V43" s="66" t="str">
        <f ca="1">IF(AND('Mapa final'!$Y$49="Baja",'Mapa final'!$AA$49="Moderado"),CONCATENATE("R8C",'Mapa final'!$O$49),"")</f>
        <v/>
      </c>
      <c r="W43" s="67" t="str">
        <f>IF(AND('Mapa final'!$Y$50="Baja",'Mapa final'!$AA$50="Moderado"),CONCATENATE("R8C",'Mapa final'!$O$50),"")</f>
        <v/>
      </c>
      <c r="X43" s="67" t="str">
        <f>IF(AND('Mapa final'!$Y$51="Baja",'Mapa final'!$AA$51="Moderado"),CONCATENATE("R8C",'Mapa final'!$O$51),"")</f>
        <v/>
      </c>
      <c r="Y43" s="67" t="str">
        <f ca="1">IF(AND('Mapa final'!$Y$52="Baja",'Mapa final'!$AA$52="Moderado"),CONCATENATE("R8C",'Mapa final'!$O$52),"")</f>
        <v/>
      </c>
      <c r="Z43" s="67" t="str">
        <f>IF(AND('Mapa final'!$Y$53="Baja",'Mapa final'!$AA$53="Moderado"),CONCATENATE("R8C",'Mapa final'!$O$53),"")</f>
        <v/>
      </c>
      <c r="AA43" s="68" t="str">
        <f>IF(AND('Mapa final'!$Y$54="Baja",'Mapa final'!$AA$54="Moderado"),CONCATENATE("R8C",'Mapa final'!$O$54),"")</f>
        <v/>
      </c>
      <c r="AB43" s="51" t="str">
        <f ca="1">IF(AND('Mapa final'!$Y$49="Baja",'Mapa final'!$AA$49="Mayor"),CONCATENATE("R8C",'Mapa final'!$O$49),"")</f>
        <v/>
      </c>
      <c r="AC43" s="52" t="str">
        <f>IF(AND('Mapa final'!$Y$50="Baja",'Mapa final'!$AA$50="Mayor"),CONCATENATE("R8C",'Mapa final'!$O$50),"")</f>
        <v/>
      </c>
      <c r="AD43" s="52" t="str">
        <f>IF(AND('Mapa final'!$Y$51="Baja",'Mapa final'!$AA$51="Mayor"),CONCATENATE("R8C",'Mapa final'!$O$51),"")</f>
        <v/>
      </c>
      <c r="AE43" s="52" t="str">
        <f ca="1">IF(AND('Mapa final'!$Y$52="Baja",'Mapa final'!$AA$52="Mayor"),CONCATENATE("R8C",'Mapa final'!$O$52),"")</f>
        <v/>
      </c>
      <c r="AF43" s="52" t="str">
        <f>IF(AND('Mapa final'!$Y$53="Baja",'Mapa final'!$AA$53="Mayor"),CONCATENATE("R8C",'Mapa final'!$O$53),"")</f>
        <v/>
      </c>
      <c r="AG43" s="53" t="str">
        <f>IF(AND('Mapa final'!$Y$54="Baja",'Mapa final'!$AA$54="Mayor"),CONCATENATE("R8C",'Mapa final'!$O$54),"")</f>
        <v/>
      </c>
      <c r="AH43" s="54" t="str">
        <f ca="1">IF(AND('Mapa final'!$Y$49="Baja",'Mapa final'!$AA$49="Catastrófico"),CONCATENATE("R8C",'Mapa final'!$O$49),"")</f>
        <v/>
      </c>
      <c r="AI43" s="55" t="str">
        <f>IF(AND('Mapa final'!$Y$50="Baja",'Mapa final'!$AA$50="Catastrófico"),CONCATENATE("R8C",'Mapa final'!$O$50),"")</f>
        <v/>
      </c>
      <c r="AJ43" s="55" t="str">
        <f>IF(AND('Mapa final'!$Y$51="Baja",'Mapa final'!$AA$51="Catastrófico"),CONCATENATE("R8C",'Mapa final'!$O$51),"")</f>
        <v/>
      </c>
      <c r="AK43" s="55" t="str">
        <f ca="1">IF(AND('Mapa final'!$Y$52="Baja",'Mapa final'!$AA$52="Catastrófico"),CONCATENATE("R8C",'Mapa final'!$O$52),"")</f>
        <v/>
      </c>
      <c r="AL43" s="55" t="str">
        <f>IF(AND('Mapa final'!$Y$53="Baja",'Mapa final'!$AA$53="Catastrófico"),CONCATENATE("R8C",'Mapa final'!$O$53),"")</f>
        <v/>
      </c>
      <c r="AM43" s="56" t="str">
        <f>IF(AND('Mapa final'!$Y$54="Baja",'Mapa final'!$AA$54="Catastrófico"),CONCATENATE("R8C",'Mapa final'!$O$54),"")</f>
        <v/>
      </c>
      <c r="AN43" s="82"/>
      <c r="AO43" s="518"/>
      <c r="AP43" s="519"/>
      <c r="AQ43" s="519"/>
      <c r="AR43" s="519"/>
      <c r="AS43" s="519"/>
      <c r="AT43" s="520"/>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446"/>
      <c r="C44" s="446"/>
      <c r="D44" s="447"/>
      <c r="E44" s="487"/>
      <c r="F44" s="488"/>
      <c r="G44" s="488"/>
      <c r="H44" s="488"/>
      <c r="I44" s="488"/>
      <c r="J44" s="75" t="str">
        <f>IF(AND('Mapa final'!$Y$55="Baja",'Mapa final'!$AA$55="Leve"),CONCATENATE("R9C",'Mapa final'!$O$55),"")</f>
        <v/>
      </c>
      <c r="K44" s="76" t="str">
        <f>IF(AND('Mapa final'!$Y$56="Baja",'Mapa final'!$AA$56="Leve"),CONCATENATE("R9C",'Mapa final'!$O$56),"")</f>
        <v/>
      </c>
      <c r="L44" s="76" t="str">
        <f>IF(AND('Mapa final'!$Y$57="Baja",'Mapa final'!$AA$57="Leve"),CONCATENATE("R9C",'Mapa final'!$O$57),"")</f>
        <v/>
      </c>
      <c r="M44" s="76" t="str">
        <f>IF(AND('Mapa final'!$Y$58="Baja",'Mapa final'!$AA$58="Leve"),CONCATENATE("R9C",'Mapa final'!$O$58),"")</f>
        <v/>
      </c>
      <c r="N44" s="76" t="str">
        <f>IF(AND('Mapa final'!$Y$59="Baja",'Mapa final'!$AA$59="Leve"),CONCATENATE("R9C",'Mapa final'!$O$59),"")</f>
        <v/>
      </c>
      <c r="O44" s="77" t="str">
        <f>IF(AND('Mapa final'!$Y$60="Baja",'Mapa final'!$AA$60="Leve"),CONCATENATE("R9C",'Mapa final'!$O$60),"")</f>
        <v/>
      </c>
      <c r="P44" s="66" t="str">
        <f>IF(AND('Mapa final'!$Y$55="Baja",'Mapa final'!$AA$55="Menor"),CONCATENATE("R9C",'Mapa final'!$O$55),"")</f>
        <v/>
      </c>
      <c r="Q44" s="67" t="str">
        <f>IF(AND('Mapa final'!$Y$56="Baja",'Mapa final'!$AA$56="Menor"),CONCATENATE("R9C",'Mapa final'!$O$56),"")</f>
        <v/>
      </c>
      <c r="R44" s="67" t="str">
        <f>IF(AND('Mapa final'!$Y$57="Baja",'Mapa final'!$AA$57="Menor"),CONCATENATE("R9C",'Mapa final'!$O$57),"")</f>
        <v/>
      </c>
      <c r="S44" s="67" t="str">
        <f>IF(AND('Mapa final'!$Y$58="Baja",'Mapa final'!$AA$58="Menor"),CONCATENATE("R9C",'Mapa final'!$O$58),"")</f>
        <v/>
      </c>
      <c r="T44" s="67" t="str">
        <f>IF(AND('Mapa final'!$Y$59="Baja",'Mapa final'!$AA$59="Menor"),CONCATENATE("R9C",'Mapa final'!$O$59),"")</f>
        <v/>
      </c>
      <c r="U44" s="68" t="str">
        <f>IF(AND('Mapa final'!$Y$60="Baja",'Mapa final'!$AA$60="Menor"),CONCATENATE("R9C",'Mapa final'!$O$60),"")</f>
        <v/>
      </c>
      <c r="V44" s="66" t="str">
        <f>IF(AND('Mapa final'!$Y$55="Baja",'Mapa final'!$AA$55="Moderado"),CONCATENATE("R9C",'Mapa final'!$O$55),"")</f>
        <v/>
      </c>
      <c r="W44" s="67" t="str">
        <f>IF(AND('Mapa final'!$Y$56="Baja",'Mapa final'!$AA$56="Moderado"),CONCATENATE("R9C",'Mapa final'!$O$56),"")</f>
        <v/>
      </c>
      <c r="X44" s="67" t="str">
        <f>IF(AND('Mapa final'!$Y$57="Baja",'Mapa final'!$AA$57="Moderado"),CONCATENATE("R9C",'Mapa final'!$O$57),"")</f>
        <v/>
      </c>
      <c r="Y44" s="67" t="str">
        <f>IF(AND('Mapa final'!$Y$58="Baja",'Mapa final'!$AA$58="Moderado"),CONCATENATE("R9C",'Mapa final'!$O$58),"")</f>
        <v/>
      </c>
      <c r="Z44" s="67" t="str">
        <f>IF(AND('Mapa final'!$Y$59="Baja",'Mapa final'!$AA$59="Moderado"),CONCATENATE("R9C",'Mapa final'!$O$59),"")</f>
        <v/>
      </c>
      <c r="AA44" s="68" t="str">
        <f>IF(AND('Mapa final'!$Y$60="Baja",'Mapa final'!$AA$60="Moderado"),CONCATENATE("R9C",'Mapa final'!$O$60),"")</f>
        <v/>
      </c>
      <c r="AB44" s="51" t="str">
        <f>IF(AND('Mapa final'!$Y$55="Baja",'Mapa final'!$AA$55="Mayor"),CONCATENATE("R9C",'Mapa final'!$O$55),"")</f>
        <v/>
      </c>
      <c r="AC44" s="52" t="str">
        <f>IF(AND('Mapa final'!$Y$56="Baja",'Mapa final'!$AA$56="Mayor"),CONCATENATE("R9C",'Mapa final'!$O$56),"")</f>
        <v/>
      </c>
      <c r="AD44" s="52" t="str">
        <f>IF(AND('Mapa final'!$Y$57="Baja",'Mapa final'!$AA$57="Mayor"),CONCATENATE("R9C",'Mapa final'!$O$57),"")</f>
        <v/>
      </c>
      <c r="AE44" s="52" t="str">
        <f>IF(AND('Mapa final'!$Y$58="Baja",'Mapa final'!$AA$58="Mayor"),CONCATENATE("R9C",'Mapa final'!$O$58),"")</f>
        <v/>
      </c>
      <c r="AF44" s="52" t="str">
        <f>IF(AND('Mapa final'!$Y$59="Baja",'Mapa final'!$AA$59="Mayor"),CONCATENATE("R9C",'Mapa final'!$O$59),"")</f>
        <v/>
      </c>
      <c r="AG44" s="53" t="str">
        <f>IF(AND('Mapa final'!$Y$60="Baja",'Mapa final'!$AA$60="Mayor"),CONCATENATE("R9C",'Mapa final'!$O$60),"")</f>
        <v/>
      </c>
      <c r="AH44" s="54" t="str">
        <f>IF(AND('Mapa final'!$Y$55="Baja",'Mapa final'!$AA$55="Catastrófico"),CONCATENATE("R9C",'Mapa final'!$O$55),"")</f>
        <v/>
      </c>
      <c r="AI44" s="55" t="str">
        <f>IF(AND('Mapa final'!$Y$56="Baja",'Mapa final'!$AA$56="Catastrófico"),CONCATENATE("R9C",'Mapa final'!$O$56),"")</f>
        <v/>
      </c>
      <c r="AJ44" s="55" t="str">
        <f>IF(AND('Mapa final'!$Y$57="Baja",'Mapa final'!$AA$57="Catastrófico"),CONCATENATE("R9C",'Mapa final'!$O$57),"")</f>
        <v/>
      </c>
      <c r="AK44" s="55" t="str">
        <f>IF(AND('Mapa final'!$Y$58="Baja",'Mapa final'!$AA$58="Catastrófico"),CONCATENATE("R9C",'Mapa final'!$O$58),"")</f>
        <v/>
      </c>
      <c r="AL44" s="55" t="str">
        <f>IF(AND('Mapa final'!$Y$59="Baja",'Mapa final'!$AA$59="Catastrófico"),CONCATENATE("R9C",'Mapa final'!$O$59),"")</f>
        <v/>
      </c>
      <c r="AM44" s="56" t="str">
        <f>IF(AND('Mapa final'!$Y$60="Baja",'Mapa final'!$AA$60="Catastrófico"),CONCATENATE("R9C",'Mapa final'!$O$60),"")</f>
        <v/>
      </c>
      <c r="AN44" s="82"/>
      <c r="AO44" s="518"/>
      <c r="AP44" s="519"/>
      <c r="AQ44" s="519"/>
      <c r="AR44" s="519"/>
      <c r="AS44" s="519"/>
      <c r="AT44" s="520"/>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446"/>
      <c r="C45" s="446"/>
      <c r="D45" s="447"/>
      <c r="E45" s="490"/>
      <c r="F45" s="491"/>
      <c r="G45" s="491"/>
      <c r="H45" s="491"/>
      <c r="I45" s="491"/>
      <c r="J45" s="78" t="str">
        <f>IF(AND('Mapa final'!$Y$61="Baja",'Mapa final'!$AA$61="Leve"),CONCATENATE("R10C",'Mapa final'!$O$61),"")</f>
        <v/>
      </c>
      <c r="K45" s="79" t="str">
        <f>IF(AND('Mapa final'!$Y$62="Baja",'Mapa final'!$AA$62="Leve"),CONCATENATE("R10C",'Mapa final'!$O$62),"")</f>
        <v/>
      </c>
      <c r="L45" s="79" t="str">
        <f>IF(AND('Mapa final'!$Y$63="Baja",'Mapa final'!$AA$63="Leve"),CONCATENATE("R10C",'Mapa final'!$O$63),"")</f>
        <v/>
      </c>
      <c r="M45" s="79" t="str">
        <f>IF(AND('Mapa final'!$Y$64="Baja",'Mapa final'!$AA$64="Leve"),CONCATENATE("R10C",'Mapa final'!$O$64),"")</f>
        <v/>
      </c>
      <c r="N45" s="79" t="str">
        <f>IF(AND('Mapa final'!$Y$65="Baja",'Mapa final'!$AA$65="Leve"),CONCATENATE("R10C",'Mapa final'!$O$65),"")</f>
        <v/>
      </c>
      <c r="O45" s="80" t="str">
        <f>IF(AND('Mapa final'!$Y$66="Baja",'Mapa final'!$AA$66="Leve"),CONCATENATE("R10C",'Mapa final'!$O$66),"")</f>
        <v/>
      </c>
      <c r="P45" s="66" t="str">
        <f>IF(AND('Mapa final'!$Y$61="Baja",'Mapa final'!$AA$61="Menor"),CONCATENATE("R10C",'Mapa final'!$O$61),"")</f>
        <v/>
      </c>
      <c r="Q45" s="67" t="str">
        <f>IF(AND('Mapa final'!$Y$62="Baja",'Mapa final'!$AA$62="Menor"),CONCATENATE("R10C",'Mapa final'!$O$62),"")</f>
        <v/>
      </c>
      <c r="R45" s="67" t="str">
        <f>IF(AND('Mapa final'!$Y$63="Baja",'Mapa final'!$AA$63="Menor"),CONCATENATE("R10C",'Mapa final'!$O$63),"")</f>
        <v/>
      </c>
      <c r="S45" s="67" t="str">
        <f>IF(AND('Mapa final'!$Y$64="Baja",'Mapa final'!$AA$64="Menor"),CONCATENATE("R10C",'Mapa final'!$O$64),"")</f>
        <v/>
      </c>
      <c r="T45" s="67" t="str">
        <f>IF(AND('Mapa final'!$Y$65="Baja",'Mapa final'!$AA$65="Menor"),CONCATENATE("R10C",'Mapa final'!$O$65),"")</f>
        <v/>
      </c>
      <c r="U45" s="68" t="str">
        <f>IF(AND('Mapa final'!$Y$66="Baja",'Mapa final'!$AA$66="Menor"),CONCATENATE("R10C",'Mapa final'!$O$66),"")</f>
        <v/>
      </c>
      <c r="V45" s="69" t="str">
        <f>IF(AND('Mapa final'!$Y$61="Baja",'Mapa final'!$AA$61="Moderado"),CONCATENATE("R10C",'Mapa final'!$O$61),"")</f>
        <v/>
      </c>
      <c r="W45" s="70" t="str">
        <f>IF(AND('Mapa final'!$Y$62="Baja",'Mapa final'!$AA$62="Moderado"),CONCATENATE("R10C",'Mapa final'!$O$62),"")</f>
        <v/>
      </c>
      <c r="X45" s="70" t="str">
        <f>IF(AND('Mapa final'!$Y$63="Baja",'Mapa final'!$AA$63="Moderado"),CONCATENATE("R10C",'Mapa final'!$O$63),"")</f>
        <v/>
      </c>
      <c r="Y45" s="70" t="str">
        <f>IF(AND('Mapa final'!$Y$64="Baja",'Mapa final'!$AA$64="Moderado"),CONCATENATE("R10C",'Mapa final'!$O$64),"")</f>
        <v/>
      </c>
      <c r="Z45" s="70" t="str">
        <f>IF(AND('Mapa final'!$Y$65="Baja",'Mapa final'!$AA$65="Moderado"),CONCATENATE("R10C",'Mapa final'!$O$65),"")</f>
        <v/>
      </c>
      <c r="AA45" s="71" t="str">
        <f>IF(AND('Mapa final'!$Y$66="Baja",'Mapa final'!$AA$66="Moderado"),CONCATENATE("R10C",'Mapa final'!$O$66),"")</f>
        <v/>
      </c>
      <c r="AB45" s="57" t="str">
        <f>IF(AND('Mapa final'!$Y$61="Baja",'Mapa final'!$AA$61="Mayor"),CONCATENATE("R10C",'Mapa final'!$O$61),"")</f>
        <v/>
      </c>
      <c r="AC45" s="58" t="str">
        <f>IF(AND('Mapa final'!$Y$62="Baja",'Mapa final'!$AA$62="Mayor"),CONCATENATE("R10C",'Mapa final'!$O$62),"")</f>
        <v/>
      </c>
      <c r="AD45" s="58" t="str">
        <f>IF(AND('Mapa final'!$Y$63="Baja",'Mapa final'!$AA$63="Mayor"),CONCATENATE("R10C",'Mapa final'!$O$63),"")</f>
        <v/>
      </c>
      <c r="AE45" s="58" t="str">
        <f>IF(AND('Mapa final'!$Y$64="Baja",'Mapa final'!$AA$64="Mayor"),CONCATENATE("R10C",'Mapa final'!$O$64),"")</f>
        <v/>
      </c>
      <c r="AF45" s="58" t="str">
        <f>IF(AND('Mapa final'!$Y$65="Baja",'Mapa final'!$AA$65="Mayor"),CONCATENATE("R10C",'Mapa final'!$O$65),"")</f>
        <v/>
      </c>
      <c r="AG45" s="59" t="str">
        <f>IF(AND('Mapa final'!$Y$66="Baja",'Mapa final'!$AA$66="Mayor"),CONCATENATE("R10C",'Mapa final'!$O$66),"")</f>
        <v/>
      </c>
      <c r="AH45" s="60" t="str">
        <f>IF(AND('Mapa final'!$Y$61="Baja",'Mapa final'!$AA$61="Catastrófico"),CONCATENATE("R10C",'Mapa final'!$O$61),"")</f>
        <v/>
      </c>
      <c r="AI45" s="61" t="str">
        <f>IF(AND('Mapa final'!$Y$62="Baja",'Mapa final'!$AA$62="Catastrófico"),CONCATENATE("R10C",'Mapa final'!$O$62),"")</f>
        <v/>
      </c>
      <c r="AJ45" s="61" t="str">
        <f>IF(AND('Mapa final'!$Y$63="Baja",'Mapa final'!$AA$63="Catastrófico"),CONCATENATE("R10C",'Mapa final'!$O$63),"")</f>
        <v/>
      </c>
      <c r="AK45" s="61" t="str">
        <f>IF(AND('Mapa final'!$Y$64="Baja",'Mapa final'!$AA$64="Catastrófico"),CONCATENATE("R10C",'Mapa final'!$O$64),"")</f>
        <v/>
      </c>
      <c r="AL45" s="61" t="str">
        <f>IF(AND('Mapa final'!$Y$65="Baja",'Mapa final'!$AA$65="Catastrófico"),CONCATENATE("R10C",'Mapa final'!$O$65),"")</f>
        <v/>
      </c>
      <c r="AM45" s="62" t="str">
        <f>IF(AND('Mapa final'!$Y$66="Baja",'Mapa final'!$AA$66="Catastrófico"),CONCATENATE("R10C",'Mapa final'!$O$66),"")</f>
        <v/>
      </c>
      <c r="AN45" s="82"/>
      <c r="AO45" s="521"/>
      <c r="AP45" s="522"/>
      <c r="AQ45" s="522"/>
      <c r="AR45" s="522"/>
      <c r="AS45" s="522"/>
      <c r="AT45" s="523"/>
    </row>
    <row r="46" spans="1:80" ht="46.5" customHeight="1" x14ac:dyDescent="0.35">
      <c r="A46" s="82"/>
      <c r="B46" s="446"/>
      <c r="C46" s="446"/>
      <c r="D46" s="447"/>
      <c r="E46" s="484" t="s">
        <v>112</v>
      </c>
      <c r="F46" s="485"/>
      <c r="G46" s="485"/>
      <c r="H46" s="485"/>
      <c r="I46" s="486"/>
      <c r="J46" s="72" t="str">
        <f ca="1">IF(AND('Mapa final'!$Y$10="Muy Baja",'Mapa final'!$AA$10="Leve"),CONCATENATE("R1C",'Mapa final'!$O$10),"")</f>
        <v/>
      </c>
      <c r="K46" s="73" t="str">
        <f>IF(AND('Mapa final'!$Y$11="Muy Baja",'Mapa final'!$AA$11="Leve"),CONCATENATE("R1C",'Mapa final'!$O$11),"")</f>
        <v/>
      </c>
      <c r="L46" s="73" t="str">
        <f>IF(AND('Mapa final'!$Y$12="Muy Baja",'Mapa final'!$AA$12="Leve"),CONCATENATE("R1C",'Mapa final'!$O$12),"")</f>
        <v/>
      </c>
      <c r="M46" s="73" t="str">
        <f>IF(AND('Mapa final'!$Y$13="Muy Baja",'Mapa final'!$AA$13="Leve"),CONCATENATE("R1C",'Mapa final'!$O$13),"")</f>
        <v/>
      </c>
      <c r="N46" s="73" t="str">
        <f>IF(AND('Mapa final'!$Y$14="Muy Baja",'Mapa final'!$AA$14="Leve"),CONCATENATE("R1C",'Mapa final'!$O$14),"")</f>
        <v/>
      </c>
      <c r="O46" s="74" t="str">
        <f>IF(AND('Mapa final'!$Y$15="Muy Baja",'Mapa final'!$AA$15="Leve"),CONCATENATE("R1C",'Mapa final'!$O$15),"")</f>
        <v/>
      </c>
      <c r="P46" s="72" t="str">
        <f ca="1">IF(AND('Mapa final'!$Y$10="Muy Baja",'Mapa final'!$AA$10="Menor"),CONCATENATE("R1C",'Mapa final'!$O$10),"")</f>
        <v/>
      </c>
      <c r="Q46" s="73" t="str">
        <f>IF(AND('Mapa final'!$Y$11="Muy Baja",'Mapa final'!$AA$11="Menor"),CONCATENATE("R1C",'Mapa final'!$O$11),"")</f>
        <v/>
      </c>
      <c r="R46" s="73" t="str">
        <f>IF(AND('Mapa final'!$Y$12="Muy Baja",'Mapa final'!$AA$12="Menor"),CONCATENATE("R1C",'Mapa final'!$O$12),"")</f>
        <v/>
      </c>
      <c r="S46" s="73" t="str">
        <f>IF(AND('Mapa final'!$Y$13="Muy Baja",'Mapa final'!$AA$13="Menor"),CONCATENATE("R1C",'Mapa final'!$O$13),"")</f>
        <v/>
      </c>
      <c r="T46" s="73" t="str">
        <f>IF(AND('Mapa final'!$Y$14="Muy Baja",'Mapa final'!$AA$14="Menor"),CONCATENATE("R1C",'Mapa final'!$O$14),"")</f>
        <v/>
      </c>
      <c r="U46" s="74" t="str">
        <f>IF(AND('Mapa final'!$Y$15="Muy Baja",'Mapa final'!$AA$15="Menor"),CONCATENATE("R1C",'Mapa final'!$O$15),"")</f>
        <v/>
      </c>
      <c r="V46" s="63" t="str">
        <f ca="1">IF(AND('Mapa final'!$Y$10="Muy Baja",'Mapa final'!$AA$10="Moderado"),CONCATENATE("R1C",'Mapa final'!$O$10),"")</f>
        <v/>
      </c>
      <c r="W46" s="81" t="str">
        <f>IF(AND('Mapa final'!$Y$11="Muy Baja",'Mapa final'!$AA$11="Moderado"),CONCATENATE("R1C",'Mapa final'!$O$11),"")</f>
        <v/>
      </c>
      <c r="X46" s="64" t="str">
        <f>IF(AND('Mapa final'!$Y$12="Muy Baja",'Mapa final'!$AA$12="Moderado"),CONCATENATE("R1C",'Mapa final'!$O$12),"")</f>
        <v/>
      </c>
      <c r="Y46" s="64" t="str">
        <f>IF(AND('Mapa final'!$Y$13="Muy Baja",'Mapa final'!$AA$13="Moderado"),CONCATENATE("R1C",'Mapa final'!$O$13),"")</f>
        <v/>
      </c>
      <c r="Z46" s="64" t="str">
        <f>IF(AND('Mapa final'!$Y$14="Muy Baja",'Mapa final'!$AA$14="Moderado"),CONCATENATE("R1C",'Mapa final'!$O$14),"")</f>
        <v/>
      </c>
      <c r="AA46" s="65" t="str">
        <f>IF(AND('Mapa final'!$Y$15="Muy Baja",'Mapa final'!$AA$15="Moderado"),CONCATENATE("R1C",'Mapa final'!$O$15),"")</f>
        <v/>
      </c>
      <c r="AB46" s="45" t="str">
        <f ca="1">IF(AND('Mapa final'!$Y$10="Muy Baja",'Mapa final'!$AA$10="Mayor"),CONCATENATE("R1C",'Mapa final'!$O$10),"")</f>
        <v/>
      </c>
      <c r="AC46" s="46" t="str">
        <f>IF(AND('Mapa final'!$Y$11="Muy Baja",'Mapa final'!$AA$11="Mayor"),CONCATENATE("R1C",'Mapa final'!$O$11),"")</f>
        <v/>
      </c>
      <c r="AD46" s="46" t="str">
        <f>IF(AND('Mapa final'!$Y$12="Muy Baja",'Mapa final'!$AA$12="Mayor"),CONCATENATE("R1C",'Mapa final'!$O$12),"")</f>
        <v/>
      </c>
      <c r="AE46" s="46" t="str">
        <f>IF(AND('Mapa final'!$Y$13="Muy Baja",'Mapa final'!$AA$13="Mayor"),CONCATENATE("R1C",'Mapa final'!$O$13),"")</f>
        <v/>
      </c>
      <c r="AF46" s="46" t="str">
        <f>IF(AND('Mapa final'!$Y$14="Muy Baja",'Mapa final'!$AA$14="Mayor"),CONCATENATE("R1C",'Mapa final'!$O$14),"")</f>
        <v/>
      </c>
      <c r="AG46" s="47" t="str">
        <f>IF(AND('Mapa final'!$Y$15="Muy Baja",'Mapa final'!$AA$15="Mayor"),CONCATENATE("R1C",'Mapa final'!$O$15),"")</f>
        <v/>
      </c>
      <c r="AH46" s="48" t="str">
        <f ca="1">IF(AND('Mapa final'!$Y$10="Muy Baja",'Mapa final'!$AA$10="Catastrófico"),CONCATENATE("R1C",'Mapa final'!$O$10),"")</f>
        <v/>
      </c>
      <c r="AI46" s="49" t="str">
        <f>IF(AND('Mapa final'!$Y$11="Muy Baja",'Mapa final'!$AA$11="Catastrófico"),CONCATENATE("R1C",'Mapa final'!$O$11),"")</f>
        <v/>
      </c>
      <c r="AJ46" s="49" t="str">
        <f>IF(AND('Mapa final'!$Y$12="Muy Baja",'Mapa final'!$AA$12="Catastrófico"),CONCATENATE("R1C",'Mapa final'!$O$12),"")</f>
        <v/>
      </c>
      <c r="AK46" s="49" t="str">
        <f>IF(AND('Mapa final'!$Y$13="Muy Baja",'Mapa final'!$AA$13="Catastrófico"),CONCATENATE("R1C",'Mapa final'!$O$13),"")</f>
        <v/>
      </c>
      <c r="AL46" s="49" t="str">
        <f>IF(AND('Mapa final'!$Y$14="Muy Baja",'Mapa final'!$AA$14="Catastrófico"),CONCATENATE("R1C",'Mapa final'!$O$14),"")</f>
        <v/>
      </c>
      <c r="AM46" s="50" t="str">
        <f>IF(AND('Mapa final'!$Y$15="Muy Baja",'Mapa final'!$AA$15="Catastrófico"),CONCATENATE("R1C",'Mapa final'!$O$15),"")</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446"/>
      <c r="C47" s="446"/>
      <c r="D47" s="447"/>
      <c r="E47" s="503"/>
      <c r="F47" s="488"/>
      <c r="G47" s="488"/>
      <c r="H47" s="488"/>
      <c r="I47" s="489"/>
      <c r="J47" s="75" t="str">
        <f ca="1">IF(AND('Mapa final'!$Y$16="Muy Baja",'Mapa final'!$AA$16="Leve"),CONCATENATE("R2C",'Mapa final'!$O$16),"")</f>
        <v/>
      </c>
      <c r="K47" s="76" t="str">
        <f>IF(AND('Mapa final'!$Y$17="Muy Baja",'Mapa final'!$AA$17="Leve"),CONCATENATE("R2C",'Mapa final'!$O$17),"")</f>
        <v/>
      </c>
      <c r="L47" s="76" t="str">
        <f>IF(AND('Mapa final'!$Y$18="Muy Baja",'Mapa final'!$AA$18="Leve"),CONCATENATE("R2C",'Mapa final'!$O$18),"")</f>
        <v/>
      </c>
      <c r="M47" s="76" t="str">
        <f>IF(AND('Mapa final'!$Y$19="Muy Baja",'Mapa final'!$AA$19="Leve"),CONCATENATE("R2C",'Mapa final'!$O$19),"")</f>
        <v/>
      </c>
      <c r="N47" s="76" t="str">
        <f>IF(AND('Mapa final'!$Y$20="Muy Baja",'Mapa final'!$AA$20="Leve"),CONCATENATE("R2C",'Mapa final'!$O$20),"")</f>
        <v/>
      </c>
      <c r="O47" s="77" t="str">
        <f>IF(AND('Mapa final'!$Y$21="Muy Baja",'Mapa final'!$AA$21="Leve"),CONCATENATE("R2C",'Mapa final'!$O$21),"")</f>
        <v/>
      </c>
      <c r="P47" s="75" t="str">
        <f ca="1">IF(AND('Mapa final'!$Y$16="Muy Baja",'Mapa final'!$AA$16="Menor"),CONCATENATE("R2C",'Mapa final'!$O$16),"")</f>
        <v/>
      </c>
      <c r="Q47" s="76" t="str">
        <f>IF(AND('Mapa final'!$Y$17="Muy Baja",'Mapa final'!$AA$17="Menor"),CONCATENATE("R2C",'Mapa final'!$O$17),"")</f>
        <v/>
      </c>
      <c r="R47" s="76" t="str">
        <f>IF(AND('Mapa final'!$Y$18="Muy Baja",'Mapa final'!$AA$18="Menor"),CONCATENATE("R2C",'Mapa final'!$O$18),"")</f>
        <v/>
      </c>
      <c r="S47" s="76" t="str">
        <f>IF(AND('Mapa final'!$Y$19="Muy Baja",'Mapa final'!$AA$19="Menor"),CONCATENATE("R2C",'Mapa final'!$O$19),"")</f>
        <v/>
      </c>
      <c r="T47" s="76" t="str">
        <f>IF(AND('Mapa final'!$Y$20="Muy Baja",'Mapa final'!$AA$20="Menor"),CONCATENATE("R2C",'Mapa final'!$O$20),"")</f>
        <v/>
      </c>
      <c r="U47" s="77" t="str">
        <f>IF(AND('Mapa final'!$Y$21="Muy Baja",'Mapa final'!$AA$21="Menor"),CONCATENATE("R2C",'Mapa final'!$O$21),"")</f>
        <v/>
      </c>
      <c r="V47" s="66" t="str">
        <f ca="1">IF(AND('Mapa final'!$Y$16="Muy Baja",'Mapa final'!$AA$16="Moderado"),CONCATENATE("R2C",'Mapa final'!$O$16),"")</f>
        <v/>
      </c>
      <c r="W47" s="67" t="str">
        <f>IF(AND('Mapa final'!$Y$17="Muy Baja",'Mapa final'!$AA$17="Moderado"),CONCATENATE("R2C",'Mapa final'!$O$17),"")</f>
        <v/>
      </c>
      <c r="X47" s="67" t="str">
        <f>IF(AND('Mapa final'!$Y$18="Muy Baja",'Mapa final'!$AA$18="Moderado"),CONCATENATE("R2C",'Mapa final'!$O$18),"")</f>
        <v/>
      </c>
      <c r="Y47" s="67" t="str">
        <f>IF(AND('Mapa final'!$Y$19="Muy Baja",'Mapa final'!$AA$19="Moderado"),CONCATENATE("R2C",'Mapa final'!$O$19),"")</f>
        <v/>
      </c>
      <c r="Z47" s="67" t="str">
        <f>IF(AND('Mapa final'!$Y$20="Muy Baja",'Mapa final'!$AA$20="Moderado"),CONCATENATE("R2C",'Mapa final'!$O$20),"")</f>
        <v/>
      </c>
      <c r="AA47" s="68" t="str">
        <f>IF(AND('Mapa final'!$Y$21="Muy Baja",'Mapa final'!$AA$21="Moderado"),CONCATENATE("R2C",'Mapa final'!$O$21),"")</f>
        <v/>
      </c>
      <c r="AB47" s="51" t="str">
        <f ca="1">IF(AND('Mapa final'!$Y$16="Muy Baja",'Mapa final'!$AA$16="Mayor"),CONCATENATE("R2C",'Mapa final'!$O$16),"")</f>
        <v/>
      </c>
      <c r="AC47" s="52" t="str">
        <f>IF(AND('Mapa final'!$Y$17="Muy Baja",'Mapa final'!$AA$17="Mayor"),CONCATENATE("R2C",'Mapa final'!$O$17),"")</f>
        <v/>
      </c>
      <c r="AD47" s="52" t="str">
        <f>IF(AND('Mapa final'!$Y$18="Muy Baja",'Mapa final'!$AA$18="Mayor"),CONCATENATE("R2C",'Mapa final'!$O$18),"")</f>
        <v/>
      </c>
      <c r="AE47" s="52" t="str">
        <f>IF(AND('Mapa final'!$Y$19="Muy Baja",'Mapa final'!$AA$19="Mayor"),CONCATENATE("R2C",'Mapa final'!$O$19),"")</f>
        <v/>
      </c>
      <c r="AF47" s="52" t="str">
        <f>IF(AND('Mapa final'!$Y$20="Muy Baja",'Mapa final'!$AA$20="Mayor"),CONCATENATE("R2C",'Mapa final'!$O$20),"")</f>
        <v/>
      </c>
      <c r="AG47" s="53" t="str">
        <f>IF(AND('Mapa final'!$Y$21="Muy Baja",'Mapa final'!$AA$21="Mayor"),CONCATENATE("R2C",'Mapa final'!$O$21),"")</f>
        <v/>
      </c>
      <c r="AH47" s="54" t="str">
        <f ca="1">IF(AND('Mapa final'!$Y$16="Muy Baja",'Mapa final'!$AA$16="Catastrófico"),CONCATENATE("R2C",'Mapa final'!$O$16),"")</f>
        <v/>
      </c>
      <c r="AI47" s="55" t="str">
        <f>IF(AND('Mapa final'!$Y$17="Muy Baja",'Mapa final'!$AA$17="Catastrófico"),CONCATENATE("R2C",'Mapa final'!$O$17),"")</f>
        <v/>
      </c>
      <c r="AJ47" s="55" t="str">
        <f>IF(AND('Mapa final'!$Y$18="Muy Baja",'Mapa final'!$AA$18="Catastrófico"),CONCATENATE("R2C",'Mapa final'!$O$18),"")</f>
        <v/>
      </c>
      <c r="AK47" s="55" t="str">
        <f>IF(AND('Mapa final'!$Y$19="Muy Baja",'Mapa final'!$AA$19="Catastrófico"),CONCATENATE("R2C",'Mapa final'!$O$19),"")</f>
        <v/>
      </c>
      <c r="AL47" s="55" t="str">
        <f>IF(AND('Mapa final'!$Y$20="Muy Baja",'Mapa final'!$AA$20="Catastrófico"),CONCATENATE("R2C",'Mapa final'!$O$20),"")</f>
        <v/>
      </c>
      <c r="AM47" s="56" t="str">
        <f>IF(AND('Mapa final'!$Y$21="Muy Baja",'Mapa final'!$AA$21="Catastrófico"),CONCATENATE("R2C",'Mapa final'!$O$21),"")</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446"/>
      <c r="C48" s="446"/>
      <c r="D48" s="447"/>
      <c r="E48" s="503"/>
      <c r="F48" s="488"/>
      <c r="G48" s="488"/>
      <c r="H48" s="488"/>
      <c r="I48" s="489"/>
      <c r="J48" s="75" t="str">
        <f ca="1">IF(AND('Mapa final'!$Y$22="Muy Baja",'Mapa final'!$AA$22="Leve"),CONCATENATE("R3C",'Mapa final'!$O$22),"")</f>
        <v/>
      </c>
      <c r="K48" s="76" t="str">
        <f>IF(AND('Mapa final'!$Y$23="Muy Baja",'Mapa final'!$AA$23="Leve"),CONCATENATE("R3C",'Mapa final'!$O$23),"")</f>
        <v/>
      </c>
      <c r="L48" s="76" t="str">
        <f>IF(AND('Mapa final'!$Y$24="Muy Baja",'Mapa final'!$AA$24="Leve"),CONCATENATE("R3C",'Mapa final'!$O$24),"")</f>
        <v/>
      </c>
      <c r="M48" s="76" t="str">
        <f>IF(AND('Mapa final'!$Y$25="Muy Baja",'Mapa final'!$AA$25="Leve"),CONCATENATE("R3C",'Mapa final'!$O$25),"")</f>
        <v/>
      </c>
      <c r="N48" s="76" t="str">
        <f>IF(AND('Mapa final'!$Y$26="Muy Baja",'Mapa final'!$AA$26="Leve"),CONCATENATE("R3C",'Mapa final'!$O$26),"")</f>
        <v/>
      </c>
      <c r="O48" s="77" t="str">
        <f>IF(AND('Mapa final'!$Y$27="Muy Baja",'Mapa final'!$AA$27="Leve"),CONCATENATE("R3C",'Mapa final'!$O$27),"")</f>
        <v/>
      </c>
      <c r="P48" s="75" t="str">
        <f ca="1">IF(AND('Mapa final'!$Y$22="Muy Baja",'Mapa final'!$AA$22="Menor"),CONCATENATE("R3C",'Mapa final'!$O$22),"")</f>
        <v/>
      </c>
      <c r="Q48" s="76" t="str">
        <f>IF(AND('Mapa final'!$Y$23="Muy Baja",'Mapa final'!$AA$23="Menor"),CONCATENATE("R3C",'Mapa final'!$O$23),"")</f>
        <v/>
      </c>
      <c r="R48" s="76" t="str">
        <f>IF(AND('Mapa final'!$Y$24="Muy Baja",'Mapa final'!$AA$24="Menor"),CONCATENATE("R3C",'Mapa final'!$O$24),"")</f>
        <v/>
      </c>
      <c r="S48" s="76" t="str">
        <f>IF(AND('Mapa final'!$Y$25="Muy Baja",'Mapa final'!$AA$25="Menor"),CONCATENATE("R3C",'Mapa final'!$O$25),"")</f>
        <v/>
      </c>
      <c r="T48" s="76" t="str">
        <f>IF(AND('Mapa final'!$Y$26="Muy Baja",'Mapa final'!$AA$26="Menor"),CONCATENATE("R3C",'Mapa final'!$O$26),"")</f>
        <v/>
      </c>
      <c r="U48" s="77" t="str">
        <f>IF(AND('Mapa final'!$Y$27="Muy Baja",'Mapa final'!$AA$27="Menor"),CONCATENATE("R3C",'Mapa final'!$O$27),"")</f>
        <v/>
      </c>
      <c r="V48" s="66" t="str">
        <f ca="1">IF(AND('Mapa final'!$Y$22="Muy Baja",'Mapa final'!$AA$22="Moderado"),CONCATENATE("R3C",'Mapa final'!$O$22),"")</f>
        <v/>
      </c>
      <c r="W48" s="67" t="str">
        <f>IF(AND('Mapa final'!$Y$23="Muy Baja",'Mapa final'!$AA$23="Moderado"),CONCATENATE("R3C",'Mapa final'!$O$23),"")</f>
        <v/>
      </c>
      <c r="X48" s="67" t="str">
        <f>IF(AND('Mapa final'!$Y$24="Muy Baja",'Mapa final'!$AA$24="Moderado"),CONCATENATE("R3C",'Mapa final'!$O$24),"")</f>
        <v/>
      </c>
      <c r="Y48" s="67" t="str">
        <f>IF(AND('Mapa final'!$Y$25="Muy Baja",'Mapa final'!$AA$25="Moderado"),CONCATENATE("R3C",'Mapa final'!$O$25),"")</f>
        <v/>
      </c>
      <c r="Z48" s="67" t="str">
        <f>IF(AND('Mapa final'!$Y$26="Muy Baja",'Mapa final'!$AA$26="Moderado"),CONCATENATE("R3C",'Mapa final'!$O$26),"")</f>
        <v/>
      </c>
      <c r="AA48" s="68" t="str">
        <f>IF(AND('Mapa final'!$Y$27="Muy Baja",'Mapa final'!$AA$27="Moderado"),CONCATENATE("R3C",'Mapa final'!$O$27),"")</f>
        <v/>
      </c>
      <c r="AB48" s="51" t="str">
        <f ca="1">IF(AND('Mapa final'!$Y$22="Muy Baja",'Mapa final'!$AA$22="Mayor"),CONCATENATE("R3C",'Mapa final'!$O$22),"")</f>
        <v/>
      </c>
      <c r="AC48" s="52" t="str">
        <f>IF(AND('Mapa final'!$Y$23="Muy Baja",'Mapa final'!$AA$23="Mayor"),CONCATENATE("R3C",'Mapa final'!$O$23),"")</f>
        <v/>
      </c>
      <c r="AD48" s="52" t="str">
        <f>IF(AND('Mapa final'!$Y$24="Muy Baja",'Mapa final'!$AA$24="Mayor"),CONCATENATE("R3C",'Mapa final'!$O$24),"")</f>
        <v/>
      </c>
      <c r="AE48" s="52" t="str">
        <f>IF(AND('Mapa final'!$Y$25="Muy Baja",'Mapa final'!$AA$25="Mayor"),CONCATENATE("R3C",'Mapa final'!$O$25),"")</f>
        <v/>
      </c>
      <c r="AF48" s="52" t="str">
        <f>IF(AND('Mapa final'!$Y$26="Muy Baja",'Mapa final'!$AA$26="Mayor"),CONCATENATE("R3C",'Mapa final'!$O$26),"")</f>
        <v/>
      </c>
      <c r="AG48" s="53" t="str">
        <f>IF(AND('Mapa final'!$Y$27="Muy Baja",'Mapa final'!$AA$27="Mayor"),CONCATENATE("R3C",'Mapa final'!$O$27),"")</f>
        <v/>
      </c>
      <c r="AH48" s="54" t="str">
        <f ca="1">IF(AND('Mapa final'!$Y$22="Muy Baja",'Mapa final'!$AA$22="Catastrófico"),CONCATENATE("R3C",'Mapa final'!$O$22),"")</f>
        <v/>
      </c>
      <c r="AI48" s="55" t="str">
        <f>IF(AND('Mapa final'!$Y$23="Muy Baja",'Mapa final'!$AA$23="Catastrófico"),CONCATENATE("R3C",'Mapa final'!$O$23),"")</f>
        <v/>
      </c>
      <c r="AJ48" s="55" t="str">
        <f>IF(AND('Mapa final'!$Y$24="Muy Baja",'Mapa final'!$AA$24="Catastrófico"),CONCATENATE("R3C",'Mapa final'!$O$24),"")</f>
        <v/>
      </c>
      <c r="AK48" s="55" t="str">
        <f>IF(AND('Mapa final'!$Y$25="Muy Baja",'Mapa final'!$AA$25="Catastrófico"),CONCATENATE("R3C",'Mapa final'!$O$25),"")</f>
        <v/>
      </c>
      <c r="AL48" s="55" t="str">
        <f>IF(AND('Mapa final'!$Y$26="Muy Baja",'Mapa final'!$AA$26="Catastrófico"),CONCATENATE("R3C",'Mapa final'!$O$26),"")</f>
        <v/>
      </c>
      <c r="AM48" s="56" t="str">
        <f>IF(AND('Mapa final'!$Y$27="Muy Baja",'Mapa final'!$AA$27="Catastrófico"),CONCATENATE("R3C",'Mapa final'!$O$27),"")</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446"/>
      <c r="C49" s="446"/>
      <c r="D49" s="447"/>
      <c r="E49" s="487"/>
      <c r="F49" s="488"/>
      <c r="G49" s="488"/>
      <c r="H49" s="488"/>
      <c r="I49" s="489"/>
      <c r="J49" s="75" t="str">
        <f ca="1">IF(AND('Mapa final'!$Y$28="Muy Baja",'Mapa final'!$AA$28="Leve"),CONCATENATE("R4C",'Mapa final'!$O$28),"")</f>
        <v/>
      </c>
      <c r="K49" s="76" t="str">
        <f>IF(AND('Mapa final'!$Y$29="Muy Baja",'Mapa final'!$AA$29="Leve"),CONCATENATE("R4C",'Mapa final'!$O$29),"")</f>
        <v/>
      </c>
      <c r="L49" s="76" t="str">
        <f>IF(AND('Mapa final'!$Y$30="Muy Baja",'Mapa final'!$AA$30="Leve"),CONCATENATE("R4C",'Mapa final'!$O$30),"")</f>
        <v/>
      </c>
      <c r="M49" s="76" t="str">
        <f>IF(AND('Mapa final'!$Y$31="Muy Baja",'Mapa final'!$AA$31="Leve"),CONCATENATE("R4C",'Mapa final'!$O$31),"")</f>
        <v/>
      </c>
      <c r="N49" s="76" t="str">
        <f>IF(AND('Mapa final'!$Y$32="Muy Baja",'Mapa final'!$AA$32="Leve"),CONCATENATE("R4C",'Mapa final'!$O$32),"")</f>
        <v/>
      </c>
      <c r="O49" s="77" t="str">
        <f>IF(AND('Mapa final'!$Y$33="Muy Baja",'Mapa final'!$AA$33="Leve"),CONCATENATE("R4C",'Mapa final'!$O$33),"")</f>
        <v/>
      </c>
      <c r="P49" s="75" t="str">
        <f ca="1">IF(AND('Mapa final'!$Y$28="Muy Baja",'Mapa final'!$AA$28="Menor"),CONCATENATE("R4C",'Mapa final'!$O$28),"")</f>
        <v/>
      </c>
      <c r="Q49" s="76" t="str">
        <f>IF(AND('Mapa final'!$Y$29="Muy Baja",'Mapa final'!$AA$29="Menor"),CONCATENATE("R4C",'Mapa final'!$O$29),"")</f>
        <v/>
      </c>
      <c r="R49" s="76" t="str">
        <f>IF(AND('Mapa final'!$Y$30="Muy Baja",'Mapa final'!$AA$30="Menor"),CONCATENATE("R4C",'Mapa final'!$O$30),"")</f>
        <v/>
      </c>
      <c r="S49" s="76" t="str">
        <f>IF(AND('Mapa final'!$Y$31="Muy Baja",'Mapa final'!$AA$31="Menor"),CONCATENATE("R4C",'Mapa final'!$O$31),"")</f>
        <v/>
      </c>
      <c r="T49" s="76" t="str">
        <f>IF(AND('Mapa final'!$Y$32="Muy Baja",'Mapa final'!$AA$32="Menor"),CONCATENATE("R4C",'Mapa final'!$O$32),"")</f>
        <v/>
      </c>
      <c r="U49" s="77" t="str">
        <f>IF(AND('Mapa final'!$Y$33="Muy Baja",'Mapa final'!$AA$33="Menor"),CONCATENATE("R4C",'Mapa final'!$O$33),"")</f>
        <v/>
      </c>
      <c r="V49" s="66" t="str">
        <f ca="1">IF(AND('Mapa final'!$Y$28="Muy Baja",'Mapa final'!$AA$28="Moderado"),CONCATENATE("R4C",'Mapa final'!$O$28),"")</f>
        <v/>
      </c>
      <c r="W49" s="67" t="str">
        <f>IF(AND('Mapa final'!$Y$29="Muy Baja",'Mapa final'!$AA$29="Moderado"),CONCATENATE("R4C",'Mapa final'!$O$29),"")</f>
        <v/>
      </c>
      <c r="X49" s="67" t="str">
        <f>IF(AND('Mapa final'!$Y$30="Muy Baja",'Mapa final'!$AA$30="Moderado"),CONCATENATE("R4C",'Mapa final'!$O$30),"")</f>
        <v/>
      </c>
      <c r="Y49" s="67" t="str">
        <f>IF(AND('Mapa final'!$Y$31="Muy Baja",'Mapa final'!$AA$31="Moderado"),CONCATENATE("R4C",'Mapa final'!$O$31),"")</f>
        <v/>
      </c>
      <c r="Z49" s="67" t="str">
        <f>IF(AND('Mapa final'!$Y$32="Muy Baja",'Mapa final'!$AA$32="Moderado"),CONCATENATE("R4C",'Mapa final'!$O$32),"")</f>
        <v/>
      </c>
      <c r="AA49" s="68" t="str">
        <f>IF(AND('Mapa final'!$Y$33="Muy Baja",'Mapa final'!$AA$33="Moderado"),CONCATENATE("R4C",'Mapa final'!$O$33),"")</f>
        <v/>
      </c>
      <c r="AB49" s="51" t="str">
        <f ca="1">IF(AND('Mapa final'!$Y$28="Muy Baja",'Mapa final'!$AA$28="Mayor"),CONCATENATE("R4C",'Mapa final'!$O$28),"")</f>
        <v/>
      </c>
      <c r="AC49" s="52" t="str">
        <f>IF(AND('Mapa final'!$Y$29="Muy Baja",'Mapa final'!$AA$29="Mayor"),CONCATENATE("R4C",'Mapa final'!$O$29),"")</f>
        <v/>
      </c>
      <c r="AD49" s="52" t="str">
        <f>IF(AND('Mapa final'!$Y$30="Muy Baja",'Mapa final'!$AA$30="Mayor"),CONCATENATE("R4C",'Mapa final'!$O$30),"")</f>
        <v/>
      </c>
      <c r="AE49" s="52" t="str">
        <f>IF(AND('Mapa final'!$Y$31="Muy Baja",'Mapa final'!$AA$31="Mayor"),CONCATENATE("R4C",'Mapa final'!$O$31),"")</f>
        <v/>
      </c>
      <c r="AF49" s="52" t="str">
        <f>IF(AND('Mapa final'!$Y$32="Muy Baja",'Mapa final'!$AA$32="Mayor"),CONCATENATE("R4C",'Mapa final'!$O$32),"")</f>
        <v/>
      </c>
      <c r="AG49" s="53" t="str">
        <f>IF(AND('Mapa final'!$Y$33="Muy Baja",'Mapa final'!$AA$33="Mayor"),CONCATENATE("R4C",'Mapa final'!$O$33),"")</f>
        <v/>
      </c>
      <c r="AH49" s="54" t="str">
        <f ca="1">IF(AND('Mapa final'!$Y$28="Muy Baja",'Mapa final'!$AA$28="Catastrófico"),CONCATENATE("R4C",'Mapa final'!$O$28),"")</f>
        <v/>
      </c>
      <c r="AI49" s="55" t="str">
        <f>IF(AND('Mapa final'!$Y$29="Muy Baja",'Mapa final'!$AA$29="Catastrófico"),CONCATENATE("R4C",'Mapa final'!$O$29),"")</f>
        <v/>
      </c>
      <c r="AJ49" s="55" t="str">
        <f>IF(AND('Mapa final'!$Y$30="Muy Baja",'Mapa final'!$AA$30="Catastrófico"),CONCATENATE("R4C",'Mapa final'!$O$30),"")</f>
        <v/>
      </c>
      <c r="AK49" s="55" t="str">
        <f>IF(AND('Mapa final'!$Y$31="Muy Baja",'Mapa final'!$AA$31="Catastrófico"),CONCATENATE("R4C",'Mapa final'!$O$31),"")</f>
        <v/>
      </c>
      <c r="AL49" s="55" t="str">
        <f>IF(AND('Mapa final'!$Y$32="Muy Baja",'Mapa final'!$AA$32="Catastrófico"),CONCATENATE("R4C",'Mapa final'!$O$32),"")</f>
        <v/>
      </c>
      <c r="AM49" s="56" t="str">
        <f>IF(AND('Mapa final'!$Y$33="Muy Baja",'Mapa final'!$AA$33="Catastrófico"),CONCATENATE("R4C",'Mapa final'!$O$33),"")</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446"/>
      <c r="C50" s="446"/>
      <c r="D50" s="447"/>
      <c r="E50" s="487"/>
      <c r="F50" s="488"/>
      <c r="G50" s="488"/>
      <c r="H50" s="488"/>
      <c r="I50" s="489"/>
      <c r="J50" s="75" t="str">
        <f ca="1">IF(AND('Mapa final'!$Y$34="Muy Baja",'Mapa final'!$AA$34="Leve"),CONCATENATE("R5C",'Mapa final'!$O$34),"")</f>
        <v/>
      </c>
      <c r="K50" s="76" t="e">
        <f>IF(AND('Mapa final'!#REF!="Muy Baja",'Mapa final'!#REF!="Leve"),CONCATENATE("R5C",'Mapa final'!#REF!),"")</f>
        <v>#REF!</v>
      </c>
      <c r="L50" s="76" t="e">
        <f>IF(AND('Mapa final'!#REF!="Muy Baja",'Mapa final'!#REF!="Leve"),CONCATENATE("R5C",'Mapa final'!#REF!),"")</f>
        <v>#REF!</v>
      </c>
      <c r="M50" s="76" t="e">
        <f>IF(AND('Mapa final'!#REF!="Muy Baja",'Mapa final'!#REF!="Leve"),CONCATENATE("R5C",'Mapa final'!#REF!),"")</f>
        <v>#REF!</v>
      </c>
      <c r="N50" s="76" t="str">
        <f>IF(AND('Mapa final'!$Y$35="Muy Baja",'Mapa final'!$AA$35="Leve"),CONCATENATE("R5C",'Mapa final'!$O$35),"")</f>
        <v/>
      </c>
      <c r="O50" s="77" t="str">
        <f>IF(AND('Mapa final'!$Y$36="Muy Baja",'Mapa final'!$AA$36="Leve"),CONCATENATE("R5C",'Mapa final'!$O$36),"")</f>
        <v/>
      </c>
      <c r="P50" s="75" t="str">
        <f ca="1">IF(AND('Mapa final'!$Y$34="Muy Baja",'Mapa final'!$AA$34="Menor"),CONCATENATE("R5C",'Mapa final'!$O$34),"")</f>
        <v/>
      </c>
      <c r="Q50" s="76" t="e">
        <f>IF(AND('Mapa final'!#REF!="Muy Baja",'Mapa final'!#REF!="Menor"),CONCATENATE("R5C",'Mapa final'!#REF!),"")</f>
        <v>#REF!</v>
      </c>
      <c r="R50" s="76" t="e">
        <f>IF(AND('Mapa final'!#REF!="Muy Baja",'Mapa final'!#REF!="Menor"),CONCATENATE("R5C",'Mapa final'!#REF!),"")</f>
        <v>#REF!</v>
      </c>
      <c r="S50" s="76" t="e">
        <f>IF(AND('Mapa final'!#REF!="Muy Baja",'Mapa final'!#REF!="Menor"),CONCATENATE("R5C",'Mapa final'!#REF!),"")</f>
        <v>#REF!</v>
      </c>
      <c r="T50" s="76" t="str">
        <f>IF(AND('Mapa final'!$Y$35="Muy Baja",'Mapa final'!$AA$35="Menor"),CONCATENATE("R5C",'Mapa final'!$O$35),"")</f>
        <v/>
      </c>
      <c r="U50" s="77" t="str">
        <f>IF(AND('Mapa final'!$Y$36="Muy Baja",'Mapa final'!$AA$36="Menor"),CONCATENATE("R5C",'Mapa final'!$O$36),"")</f>
        <v/>
      </c>
      <c r="V50" s="66" t="str">
        <f ca="1">IF(AND('Mapa final'!$Y$34="Muy Baja",'Mapa final'!$AA$34="Moderado"),CONCATENATE("R5C",'Mapa final'!$O$34),"")</f>
        <v/>
      </c>
      <c r="W50" s="67" t="e">
        <f>IF(AND('Mapa final'!#REF!="Muy Baja",'Mapa final'!#REF!="Moderado"),CONCATENATE("R5C",'Mapa final'!#REF!),"")</f>
        <v>#REF!</v>
      </c>
      <c r="X50" s="67" t="e">
        <f>IF(AND('Mapa final'!#REF!="Muy Baja",'Mapa final'!#REF!="Moderado"),CONCATENATE("R5C",'Mapa final'!#REF!),"")</f>
        <v>#REF!</v>
      </c>
      <c r="Y50" s="67" t="e">
        <f>IF(AND('Mapa final'!#REF!="Muy Baja",'Mapa final'!#REF!="Moderado"),CONCATENATE("R5C",'Mapa final'!#REF!),"")</f>
        <v>#REF!</v>
      </c>
      <c r="Z50" s="67" t="str">
        <f>IF(AND('Mapa final'!$Y$35="Muy Baja",'Mapa final'!$AA$35="Moderado"),CONCATENATE("R5C",'Mapa final'!$O$35),"")</f>
        <v/>
      </c>
      <c r="AA50" s="68" t="str">
        <f>IF(AND('Mapa final'!$Y$36="Muy Baja",'Mapa final'!$AA$36="Moderado"),CONCATENATE("R5C",'Mapa final'!$O$36),"")</f>
        <v/>
      </c>
      <c r="AB50" s="51" t="str">
        <f ca="1">IF(AND('Mapa final'!$Y$34="Muy Baja",'Mapa final'!$AA$34="Mayor"),CONCATENATE("R5C",'Mapa final'!$O$34),"")</f>
        <v/>
      </c>
      <c r="AC50" s="52" t="e">
        <f>IF(AND('Mapa final'!#REF!="Muy Baja",'Mapa final'!#REF!="Mayor"),CONCATENATE("R5C",'Mapa final'!#REF!),"")</f>
        <v>#REF!</v>
      </c>
      <c r="AD50" s="52" t="e">
        <f>IF(AND('Mapa final'!#REF!="Muy Baja",'Mapa final'!#REF!="Mayor"),CONCATENATE("R5C",'Mapa final'!#REF!),"")</f>
        <v>#REF!</v>
      </c>
      <c r="AE50" s="52" t="e">
        <f>IF(AND('Mapa final'!#REF!="Muy Baja",'Mapa final'!#REF!="Mayor"),CONCATENATE("R5C",'Mapa final'!#REF!),"")</f>
        <v>#REF!</v>
      </c>
      <c r="AF50" s="52" t="str">
        <f>IF(AND('Mapa final'!$Y$35="Muy Baja",'Mapa final'!$AA$35="Mayor"),CONCATENATE("R5C",'Mapa final'!$O$35),"")</f>
        <v/>
      </c>
      <c r="AG50" s="53" t="str">
        <f>IF(AND('Mapa final'!$Y$36="Muy Baja",'Mapa final'!$AA$36="Mayor"),CONCATENATE("R5C",'Mapa final'!$O$36),"")</f>
        <v/>
      </c>
      <c r="AH50" s="54" t="str">
        <f ca="1">IF(AND('Mapa final'!$Y$34="Muy Baja",'Mapa final'!$AA$34="Catastrófico"),CONCATENATE("R5C",'Mapa final'!$O$34),"")</f>
        <v/>
      </c>
      <c r="AI50" s="55" t="e">
        <f>IF(AND('Mapa final'!#REF!="Muy Baja",'Mapa final'!#REF!="Catastrófico"),CONCATENATE("R5C",'Mapa final'!#REF!),"")</f>
        <v>#REF!</v>
      </c>
      <c r="AJ50" s="55" t="e">
        <f>IF(AND('Mapa final'!#REF!="Muy Baja",'Mapa final'!#REF!="Catastrófico"),CONCATENATE("R5C",'Mapa final'!#REF!),"")</f>
        <v>#REF!</v>
      </c>
      <c r="AK50" s="55" t="e">
        <f>IF(AND('Mapa final'!#REF!="Muy Baja",'Mapa final'!#REF!="Catastrófico"),CONCATENATE("R5C",'Mapa final'!#REF!),"")</f>
        <v>#REF!</v>
      </c>
      <c r="AL50" s="55" t="str">
        <f>IF(AND('Mapa final'!$Y$35="Muy Baja",'Mapa final'!$AA$35="Catastrófico"),CONCATENATE("R5C",'Mapa final'!$O$35),"")</f>
        <v/>
      </c>
      <c r="AM50" s="56" t="str">
        <f>IF(AND('Mapa final'!$Y$36="Muy Baja",'Mapa final'!$AA$36="Catastrófico"),CONCATENATE("R5C",'Mapa final'!$O$36),"")</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446"/>
      <c r="C51" s="446"/>
      <c r="D51" s="447"/>
      <c r="E51" s="487"/>
      <c r="F51" s="488"/>
      <c r="G51" s="488"/>
      <c r="H51" s="488"/>
      <c r="I51" s="489"/>
      <c r="J51" s="75" t="str">
        <f ca="1">IF(AND('Mapa final'!$Y$37="Muy Baja",'Mapa final'!$AA$37="Leve"),CONCATENATE("R6C",'Mapa final'!$O$37),"")</f>
        <v/>
      </c>
      <c r="K51" s="76" t="str">
        <f>IF(AND('Mapa final'!$Y$38="Muy Baja",'Mapa final'!$AA$38="Leve"),CONCATENATE("R6C",'Mapa final'!$O$38),"")</f>
        <v/>
      </c>
      <c r="L51" s="76" t="str">
        <f>IF(AND('Mapa final'!$Y$39="Muy Baja",'Mapa final'!$AA$39="Leve"),CONCATENATE("R6C",'Mapa final'!$O$39),"")</f>
        <v/>
      </c>
      <c r="M51" s="76" t="str">
        <f>IF(AND('Mapa final'!$Y$40="Muy Baja",'Mapa final'!$AA$40="Leve"),CONCATENATE("R6C",'Mapa final'!$O$40),"")</f>
        <v/>
      </c>
      <c r="N51" s="76" t="str">
        <f>IF(AND('Mapa final'!$Y$41="Muy Baja",'Mapa final'!$AA$41="Leve"),CONCATENATE("R6C",'Mapa final'!$O$41),"")</f>
        <v/>
      </c>
      <c r="O51" s="77" t="str">
        <f>IF(AND('Mapa final'!$Y$42="Muy Baja",'Mapa final'!$AA$42="Leve"),CONCATENATE("R6C",'Mapa final'!$O$42),"")</f>
        <v/>
      </c>
      <c r="P51" s="75" t="str">
        <f ca="1">IF(AND('Mapa final'!$Y$37="Muy Baja",'Mapa final'!$AA$37="Menor"),CONCATENATE("R6C",'Mapa final'!$O$37),"")</f>
        <v/>
      </c>
      <c r="Q51" s="76" t="str">
        <f>IF(AND('Mapa final'!$Y$38="Muy Baja",'Mapa final'!$AA$38="Menor"),CONCATENATE("R6C",'Mapa final'!$O$38),"")</f>
        <v/>
      </c>
      <c r="R51" s="76" t="str">
        <f>IF(AND('Mapa final'!$Y$39="Muy Baja",'Mapa final'!$AA$39="Menor"),CONCATENATE("R6C",'Mapa final'!$O$39),"")</f>
        <v/>
      </c>
      <c r="S51" s="76" t="str">
        <f>IF(AND('Mapa final'!$Y$40="Muy Baja",'Mapa final'!$AA$40="Menor"),CONCATENATE("R6C",'Mapa final'!$O$40),"")</f>
        <v/>
      </c>
      <c r="T51" s="76" t="str">
        <f>IF(AND('Mapa final'!$Y$41="Muy Baja",'Mapa final'!$AA$41="Menor"),CONCATENATE("R6C",'Mapa final'!$O$41),"")</f>
        <v/>
      </c>
      <c r="U51" s="77" t="str">
        <f>IF(AND('Mapa final'!$Y$42="Muy Baja",'Mapa final'!$AA$42="Menor"),CONCATENATE("R6C",'Mapa final'!$O$42),"")</f>
        <v/>
      </c>
      <c r="V51" s="66" t="str">
        <f ca="1">IF(AND('Mapa final'!$Y$37="Muy Baja",'Mapa final'!$AA$37="Moderado"),CONCATENATE("R6C",'Mapa final'!$O$37),"")</f>
        <v/>
      </c>
      <c r="W51" s="67" t="str">
        <f>IF(AND('Mapa final'!$Y$38="Muy Baja",'Mapa final'!$AA$38="Moderado"),CONCATENATE("R6C",'Mapa final'!$O$38),"")</f>
        <v/>
      </c>
      <c r="X51" s="67" t="str">
        <f>IF(AND('Mapa final'!$Y$39="Muy Baja",'Mapa final'!$AA$39="Moderado"),CONCATENATE("R6C",'Mapa final'!$O$39),"")</f>
        <v/>
      </c>
      <c r="Y51" s="67" t="str">
        <f>IF(AND('Mapa final'!$Y$40="Muy Baja",'Mapa final'!$AA$40="Moderado"),CONCATENATE("R6C",'Mapa final'!$O$40),"")</f>
        <v/>
      </c>
      <c r="Z51" s="67" t="str">
        <f>IF(AND('Mapa final'!$Y$41="Muy Baja",'Mapa final'!$AA$41="Moderado"),CONCATENATE("R6C",'Mapa final'!$O$41),"")</f>
        <v/>
      </c>
      <c r="AA51" s="68" t="str">
        <f>IF(AND('Mapa final'!$Y$42="Muy Baja",'Mapa final'!$AA$42="Moderado"),CONCATENATE("R6C",'Mapa final'!$O$42),"")</f>
        <v/>
      </c>
      <c r="AB51" s="51" t="str">
        <f ca="1">IF(AND('Mapa final'!$Y$37="Muy Baja",'Mapa final'!$AA$37="Mayor"),CONCATENATE("R6C",'Mapa final'!$O$37),"")</f>
        <v/>
      </c>
      <c r="AC51" s="52" t="str">
        <f>IF(AND('Mapa final'!$Y$38="Muy Baja",'Mapa final'!$AA$38="Mayor"),CONCATENATE("R6C",'Mapa final'!$O$38),"")</f>
        <v/>
      </c>
      <c r="AD51" s="52" t="str">
        <f>IF(AND('Mapa final'!$Y$39="Muy Baja",'Mapa final'!$AA$39="Mayor"),CONCATENATE("R6C",'Mapa final'!$O$39),"")</f>
        <v/>
      </c>
      <c r="AE51" s="52" t="str">
        <f>IF(AND('Mapa final'!$Y$40="Muy Baja",'Mapa final'!$AA$40="Mayor"),CONCATENATE("R6C",'Mapa final'!$O$40),"")</f>
        <v/>
      </c>
      <c r="AF51" s="52" t="str">
        <f>IF(AND('Mapa final'!$Y$41="Muy Baja",'Mapa final'!$AA$41="Mayor"),CONCATENATE("R6C",'Mapa final'!$O$41),"")</f>
        <v/>
      </c>
      <c r="AG51" s="53" t="str">
        <f>IF(AND('Mapa final'!$Y$42="Muy Baja",'Mapa final'!$AA$42="Mayor"),CONCATENATE("R6C",'Mapa final'!$O$42),"")</f>
        <v/>
      </c>
      <c r="AH51" s="54" t="str">
        <f ca="1">IF(AND('Mapa final'!$Y$37="Muy Baja",'Mapa final'!$AA$37="Catastrófico"),CONCATENATE("R6C",'Mapa final'!$O$37),"")</f>
        <v/>
      </c>
      <c r="AI51" s="55" t="str">
        <f>IF(AND('Mapa final'!$Y$38="Muy Baja",'Mapa final'!$AA$38="Catastrófico"),CONCATENATE("R6C",'Mapa final'!$O$38),"")</f>
        <v/>
      </c>
      <c r="AJ51" s="55" t="str">
        <f>IF(AND('Mapa final'!$Y$39="Muy Baja",'Mapa final'!$AA$39="Catastrófico"),CONCATENATE("R6C",'Mapa final'!$O$39),"")</f>
        <v/>
      </c>
      <c r="AK51" s="55" t="str">
        <f>IF(AND('Mapa final'!$Y$40="Muy Baja",'Mapa final'!$AA$40="Catastrófico"),CONCATENATE("R6C",'Mapa final'!$O$40),"")</f>
        <v/>
      </c>
      <c r="AL51" s="55" t="str">
        <f>IF(AND('Mapa final'!$Y$41="Muy Baja",'Mapa final'!$AA$41="Catastrófico"),CONCATENATE("R6C",'Mapa final'!$O$41),"")</f>
        <v/>
      </c>
      <c r="AM51" s="56" t="str">
        <f>IF(AND('Mapa final'!$Y$42="Muy Baja",'Mapa final'!$AA$42="Catastrófico"),CONCATENATE("R6C",'Mapa final'!$O$42),"")</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446"/>
      <c r="C52" s="446"/>
      <c r="D52" s="447"/>
      <c r="E52" s="487"/>
      <c r="F52" s="488"/>
      <c r="G52" s="488"/>
      <c r="H52" s="488"/>
      <c r="I52" s="489"/>
      <c r="J52" s="75" t="str">
        <f ca="1">IF(AND('Mapa final'!$Y$43="Muy Baja",'Mapa final'!$AA$43="Leve"),CONCATENATE("R7C",'Mapa final'!$O$43),"")</f>
        <v/>
      </c>
      <c r="K52" s="76" t="str">
        <f>IF(AND('Mapa final'!$Y$44="Muy Baja",'Mapa final'!$AA$44="Leve"),CONCATENATE("R7C",'Mapa final'!$O$44),"")</f>
        <v/>
      </c>
      <c r="L52" s="76" t="str">
        <f>IF(AND('Mapa final'!$Y$45="Muy Baja",'Mapa final'!$AA$45="Leve"),CONCATENATE("R7C",'Mapa final'!$O$45),"")</f>
        <v/>
      </c>
      <c r="M52" s="76" t="str">
        <f>IF(AND('Mapa final'!$Y$46="Muy Baja",'Mapa final'!$AA$46="Leve"),CONCATENATE("R7C",'Mapa final'!$O$46),"")</f>
        <v/>
      </c>
      <c r="N52" s="76" t="str">
        <f>IF(AND('Mapa final'!$Y$47="Muy Baja",'Mapa final'!$AA$47="Leve"),CONCATENATE("R7C",'Mapa final'!$O$47),"")</f>
        <v/>
      </c>
      <c r="O52" s="77" t="str">
        <f>IF(AND('Mapa final'!$Y$48="Muy Baja",'Mapa final'!$AA$48="Leve"),CONCATENATE("R7C",'Mapa final'!$O$48),"")</f>
        <v/>
      </c>
      <c r="P52" s="75" t="str">
        <f ca="1">IF(AND('Mapa final'!$Y$43="Muy Baja",'Mapa final'!$AA$43="Menor"),CONCATENATE("R7C",'Mapa final'!$O$43),"")</f>
        <v/>
      </c>
      <c r="Q52" s="76" t="str">
        <f>IF(AND('Mapa final'!$Y$44="Muy Baja",'Mapa final'!$AA$44="Menor"),CONCATENATE("R7C",'Mapa final'!$O$44),"")</f>
        <v/>
      </c>
      <c r="R52" s="76" t="str">
        <f>IF(AND('Mapa final'!$Y$45="Muy Baja",'Mapa final'!$AA$45="Menor"),CONCATENATE("R7C",'Mapa final'!$O$45),"")</f>
        <v/>
      </c>
      <c r="S52" s="76" t="str">
        <f>IF(AND('Mapa final'!$Y$46="Muy Baja",'Mapa final'!$AA$46="Menor"),CONCATENATE("R7C",'Mapa final'!$O$46),"")</f>
        <v/>
      </c>
      <c r="T52" s="76" t="str">
        <f>IF(AND('Mapa final'!$Y$47="Muy Baja",'Mapa final'!$AA$47="Menor"),CONCATENATE("R7C",'Mapa final'!$O$47),"")</f>
        <v/>
      </c>
      <c r="U52" s="77" t="str">
        <f>IF(AND('Mapa final'!$Y$48="Muy Baja",'Mapa final'!$AA$48="Menor"),CONCATENATE("R7C",'Mapa final'!$O$48),"")</f>
        <v/>
      </c>
      <c r="V52" s="66" t="str">
        <f ca="1">IF(AND('Mapa final'!$Y$43="Muy Baja",'Mapa final'!$AA$43="Moderado"),CONCATENATE("R7C",'Mapa final'!$O$43),"")</f>
        <v/>
      </c>
      <c r="W52" s="67" t="str">
        <f>IF(AND('Mapa final'!$Y$44="Muy Baja",'Mapa final'!$AA$44="Moderado"),CONCATENATE("R7C",'Mapa final'!$O$44),"")</f>
        <v/>
      </c>
      <c r="X52" s="67" t="str">
        <f>IF(AND('Mapa final'!$Y$45="Muy Baja",'Mapa final'!$AA$45="Moderado"),CONCATENATE("R7C",'Mapa final'!$O$45),"")</f>
        <v/>
      </c>
      <c r="Y52" s="67" t="str">
        <f>IF(AND('Mapa final'!$Y$46="Muy Baja",'Mapa final'!$AA$46="Moderado"),CONCATENATE("R7C",'Mapa final'!$O$46),"")</f>
        <v/>
      </c>
      <c r="Z52" s="67" t="str">
        <f>IF(AND('Mapa final'!$Y$47="Muy Baja",'Mapa final'!$AA$47="Moderado"),CONCATENATE("R7C",'Mapa final'!$O$47),"")</f>
        <v/>
      </c>
      <c r="AA52" s="68" t="str">
        <f>IF(AND('Mapa final'!$Y$48="Muy Baja",'Mapa final'!$AA$48="Moderado"),CONCATENATE("R7C",'Mapa final'!$O$48),"")</f>
        <v/>
      </c>
      <c r="AB52" s="51" t="str">
        <f ca="1">IF(AND('Mapa final'!$Y$43="Muy Baja",'Mapa final'!$AA$43="Mayor"),CONCATENATE("R7C",'Mapa final'!$O$43),"")</f>
        <v/>
      </c>
      <c r="AC52" s="52" t="str">
        <f>IF(AND('Mapa final'!$Y$44="Muy Baja",'Mapa final'!$AA$44="Mayor"),CONCATENATE("R7C",'Mapa final'!$O$44),"")</f>
        <v/>
      </c>
      <c r="AD52" s="52" t="str">
        <f>IF(AND('Mapa final'!$Y$45="Muy Baja",'Mapa final'!$AA$45="Mayor"),CONCATENATE("R7C",'Mapa final'!$O$45),"")</f>
        <v/>
      </c>
      <c r="AE52" s="52" t="str">
        <f>IF(AND('Mapa final'!$Y$46="Muy Baja",'Mapa final'!$AA$46="Mayor"),CONCATENATE("R7C",'Mapa final'!$O$46),"")</f>
        <v/>
      </c>
      <c r="AF52" s="52" t="str">
        <f>IF(AND('Mapa final'!$Y$47="Muy Baja",'Mapa final'!$AA$47="Mayor"),CONCATENATE("R7C",'Mapa final'!$O$47),"")</f>
        <v/>
      </c>
      <c r="AG52" s="53" t="str">
        <f>IF(AND('Mapa final'!$Y$48="Muy Baja",'Mapa final'!$AA$48="Mayor"),CONCATENATE("R7C",'Mapa final'!$O$48),"")</f>
        <v/>
      </c>
      <c r="AH52" s="54" t="str">
        <f ca="1">IF(AND('Mapa final'!$Y$43="Muy Baja",'Mapa final'!$AA$43="Catastrófico"),CONCATENATE("R7C",'Mapa final'!$O$43),"")</f>
        <v/>
      </c>
      <c r="AI52" s="55" t="str">
        <f>IF(AND('Mapa final'!$Y$44="Muy Baja",'Mapa final'!$AA$44="Catastrófico"),CONCATENATE("R7C",'Mapa final'!$O$44),"")</f>
        <v/>
      </c>
      <c r="AJ52" s="55" t="str">
        <f>IF(AND('Mapa final'!$Y$45="Muy Baja",'Mapa final'!$AA$45="Catastrófico"),CONCATENATE("R7C",'Mapa final'!$O$45),"")</f>
        <v/>
      </c>
      <c r="AK52" s="55" t="str">
        <f>IF(AND('Mapa final'!$Y$46="Muy Baja",'Mapa final'!$AA$46="Catastrófico"),CONCATENATE("R7C",'Mapa final'!$O$46),"")</f>
        <v/>
      </c>
      <c r="AL52" s="55" t="str">
        <f>IF(AND('Mapa final'!$Y$47="Muy Baja",'Mapa final'!$AA$47="Catastrófico"),CONCATENATE("R7C",'Mapa final'!$O$47),"")</f>
        <v/>
      </c>
      <c r="AM52" s="56" t="str">
        <f>IF(AND('Mapa final'!$Y$48="Muy Baja",'Mapa final'!$AA$48="Catastrófico"),CONCATENATE("R7C",'Mapa final'!$O$48),"")</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446"/>
      <c r="C53" s="446"/>
      <c r="D53" s="447"/>
      <c r="E53" s="487"/>
      <c r="F53" s="488"/>
      <c r="G53" s="488"/>
      <c r="H53" s="488"/>
      <c r="I53" s="489"/>
      <c r="J53" s="75" t="str">
        <f ca="1">IF(AND('Mapa final'!$Y$49="Muy Baja",'Mapa final'!$AA$49="Leve"),CONCATENATE("R8C",'Mapa final'!$O$49),"")</f>
        <v/>
      </c>
      <c r="K53" s="76" t="str">
        <f>IF(AND('Mapa final'!$Y$50="Muy Baja",'Mapa final'!$AA$50="Leve"),CONCATENATE("R8C",'Mapa final'!$O$50),"")</f>
        <v/>
      </c>
      <c r="L53" s="76" t="str">
        <f>IF(AND('Mapa final'!$Y$51="Muy Baja",'Mapa final'!$AA$51="Leve"),CONCATENATE("R8C",'Mapa final'!$O$51),"")</f>
        <v/>
      </c>
      <c r="M53" s="76" t="str">
        <f ca="1">IF(AND('Mapa final'!$Y$52="Muy Baja",'Mapa final'!$AA$52="Leve"),CONCATENATE("R8C",'Mapa final'!$O$52),"")</f>
        <v/>
      </c>
      <c r="N53" s="76" t="str">
        <f>IF(AND('Mapa final'!$Y$53="Muy Baja",'Mapa final'!$AA$53="Leve"),CONCATENATE("R8C",'Mapa final'!$O$53),"")</f>
        <v/>
      </c>
      <c r="O53" s="77" t="str">
        <f>IF(AND('Mapa final'!$Y$54="Muy Baja",'Mapa final'!$AA$54="Leve"),CONCATENATE("R8C",'Mapa final'!$O$54),"")</f>
        <v/>
      </c>
      <c r="P53" s="75" t="str">
        <f ca="1">IF(AND('Mapa final'!$Y$49="Muy Baja",'Mapa final'!$AA$49="Menor"),CONCATENATE("R8C",'Mapa final'!$O$49),"")</f>
        <v/>
      </c>
      <c r="Q53" s="76" t="str">
        <f>IF(AND('Mapa final'!$Y$50="Muy Baja",'Mapa final'!$AA$50="Menor"),CONCATENATE("R8C",'Mapa final'!$O$50),"")</f>
        <v/>
      </c>
      <c r="R53" s="76" t="str">
        <f>IF(AND('Mapa final'!$Y$51="Muy Baja",'Mapa final'!$AA$51="Menor"),CONCATENATE("R8C",'Mapa final'!$O$51),"")</f>
        <v/>
      </c>
      <c r="S53" s="76" t="str">
        <f ca="1">IF(AND('Mapa final'!$Y$52="Muy Baja",'Mapa final'!$AA$52="Menor"),CONCATENATE("R8C",'Mapa final'!$O$52),"")</f>
        <v/>
      </c>
      <c r="T53" s="76" t="str">
        <f>IF(AND('Mapa final'!$Y$53="Muy Baja",'Mapa final'!$AA$53="Menor"),CONCATENATE("R8C",'Mapa final'!$O$53),"")</f>
        <v/>
      </c>
      <c r="U53" s="77" t="str">
        <f>IF(AND('Mapa final'!$Y$54="Muy Baja",'Mapa final'!$AA$54="Menor"),CONCATENATE("R8C",'Mapa final'!$O$54),"")</f>
        <v/>
      </c>
      <c r="V53" s="66" t="str">
        <f ca="1">IF(AND('Mapa final'!$Y$49="Muy Baja",'Mapa final'!$AA$49="Moderado"),CONCATENATE("R8C",'Mapa final'!$O$49),"")</f>
        <v/>
      </c>
      <c r="W53" s="67" t="str">
        <f>IF(AND('Mapa final'!$Y$50="Muy Baja",'Mapa final'!$AA$50="Moderado"),CONCATENATE("R8C",'Mapa final'!$O$50),"")</f>
        <v/>
      </c>
      <c r="X53" s="67" t="str">
        <f>IF(AND('Mapa final'!$Y$51="Muy Baja",'Mapa final'!$AA$51="Moderado"),CONCATENATE("R8C",'Mapa final'!$O$51),"")</f>
        <v/>
      </c>
      <c r="Y53" s="67" t="str">
        <f ca="1">IF(AND('Mapa final'!$Y$52="Muy Baja",'Mapa final'!$AA$52="Moderado"),CONCATENATE("R8C",'Mapa final'!$O$52),"")</f>
        <v/>
      </c>
      <c r="Z53" s="67" t="str">
        <f>IF(AND('Mapa final'!$Y$53="Muy Baja",'Mapa final'!$AA$53="Moderado"),CONCATENATE("R8C",'Mapa final'!$O$53),"")</f>
        <v/>
      </c>
      <c r="AA53" s="68" t="str">
        <f>IF(AND('Mapa final'!$Y$54="Muy Baja",'Mapa final'!$AA$54="Moderado"),CONCATENATE("R8C",'Mapa final'!$O$54),"")</f>
        <v/>
      </c>
      <c r="AB53" s="51" t="str">
        <f ca="1">IF(AND('Mapa final'!$Y$49="Muy Baja",'Mapa final'!$AA$49="Mayor"),CONCATENATE("R8C",'Mapa final'!$O$49),"")</f>
        <v/>
      </c>
      <c r="AC53" s="52" t="str">
        <f>IF(AND('Mapa final'!$Y$50="Muy Baja",'Mapa final'!$AA$50="Mayor"),CONCATENATE("R8C",'Mapa final'!$O$50),"")</f>
        <v/>
      </c>
      <c r="AD53" s="52" t="str">
        <f>IF(AND('Mapa final'!$Y$51="Muy Baja",'Mapa final'!$AA$51="Mayor"),CONCATENATE("R8C",'Mapa final'!$O$51),"")</f>
        <v/>
      </c>
      <c r="AE53" s="52" t="str">
        <f ca="1">IF(AND('Mapa final'!$Y$52="Muy Baja",'Mapa final'!$AA$52="Mayor"),CONCATENATE("R8C",'Mapa final'!$O$52),"")</f>
        <v/>
      </c>
      <c r="AF53" s="52" t="str">
        <f>IF(AND('Mapa final'!$Y$53="Muy Baja",'Mapa final'!$AA$53="Mayor"),CONCATENATE("R8C",'Mapa final'!$O$53),"")</f>
        <v/>
      </c>
      <c r="AG53" s="53" t="str">
        <f>IF(AND('Mapa final'!$Y$54="Muy Baja",'Mapa final'!$AA$54="Mayor"),CONCATENATE("R8C",'Mapa final'!$O$54),"")</f>
        <v/>
      </c>
      <c r="AH53" s="54" t="str">
        <f ca="1">IF(AND('Mapa final'!$Y$49="Muy Baja",'Mapa final'!$AA$49="Catastrófico"),CONCATENATE("R8C",'Mapa final'!$O$49),"")</f>
        <v/>
      </c>
      <c r="AI53" s="55" t="str">
        <f>IF(AND('Mapa final'!$Y$50="Muy Baja",'Mapa final'!$AA$50="Catastrófico"),CONCATENATE("R8C",'Mapa final'!$O$50),"")</f>
        <v/>
      </c>
      <c r="AJ53" s="55" t="str">
        <f>IF(AND('Mapa final'!$Y$51="Muy Baja",'Mapa final'!$AA$51="Catastrófico"),CONCATENATE("R8C",'Mapa final'!$O$51),"")</f>
        <v/>
      </c>
      <c r="AK53" s="55" t="str">
        <f ca="1">IF(AND('Mapa final'!$Y$52="Muy Baja",'Mapa final'!$AA$52="Catastrófico"),CONCATENATE("R8C",'Mapa final'!$O$52),"")</f>
        <v>R8C1</v>
      </c>
      <c r="AL53" s="55" t="str">
        <f>IF(AND('Mapa final'!$Y$53="Muy Baja",'Mapa final'!$AA$53="Catastrófico"),CONCATENATE("R8C",'Mapa final'!$O$53),"")</f>
        <v/>
      </c>
      <c r="AM53" s="56" t="str">
        <f>IF(AND('Mapa final'!$Y$54="Muy Baja",'Mapa final'!$AA$54="Catastrófico"),CONCATENATE("R8C",'Mapa final'!$O$54),"")</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446"/>
      <c r="C54" s="446"/>
      <c r="D54" s="447"/>
      <c r="E54" s="487"/>
      <c r="F54" s="488"/>
      <c r="G54" s="488"/>
      <c r="H54" s="488"/>
      <c r="I54" s="489"/>
      <c r="J54" s="75" t="str">
        <f>IF(AND('Mapa final'!$Y$55="Muy Baja",'Mapa final'!$AA$55="Leve"),CONCATENATE("R9C",'Mapa final'!$O$55),"")</f>
        <v/>
      </c>
      <c r="K54" s="76" t="str">
        <f>IF(AND('Mapa final'!$Y$56="Muy Baja",'Mapa final'!$AA$56="Leve"),CONCATENATE("R9C",'Mapa final'!$O$56),"")</f>
        <v/>
      </c>
      <c r="L54" s="76" t="str">
        <f>IF(AND('Mapa final'!$Y$57="Muy Baja",'Mapa final'!$AA$57="Leve"),CONCATENATE("R9C",'Mapa final'!$O$57),"")</f>
        <v/>
      </c>
      <c r="M54" s="76" t="str">
        <f>IF(AND('Mapa final'!$Y$58="Muy Baja",'Mapa final'!$AA$58="Leve"),CONCATENATE("R9C",'Mapa final'!$O$58),"")</f>
        <v/>
      </c>
      <c r="N54" s="76" t="str">
        <f>IF(AND('Mapa final'!$Y$59="Muy Baja",'Mapa final'!$AA$59="Leve"),CONCATENATE("R9C",'Mapa final'!$O$59),"")</f>
        <v/>
      </c>
      <c r="O54" s="77" t="str">
        <f>IF(AND('Mapa final'!$Y$60="Muy Baja",'Mapa final'!$AA$60="Leve"),CONCATENATE("R9C",'Mapa final'!$O$60),"")</f>
        <v/>
      </c>
      <c r="P54" s="75" t="str">
        <f>IF(AND('Mapa final'!$Y$55="Muy Baja",'Mapa final'!$AA$55="Menor"),CONCATENATE("R9C",'Mapa final'!$O$55),"")</f>
        <v/>
      </c>
      <c r="Q54" s="76" t="str">
        <f>IF(AND('Mapa final'!$Y$56="Muy Baja",'Mapa final'!$AA$56="Menor"),CONCATENATE("R9C",'Mapa final'!$O$56),"")</f>
        <v/>
      </c>
      <c r="R54" s="76" t="str">
        <f>IF(AND('Mapa final'!$Y$57="Muy Baja",'Mapa final'!$AA$57="Menor"),CONCATENATE("R9C",'Mapa final'!$O$57),"")</f>
        <v/>
      </c>
      <c r="S54" s="76" t="str">
        <f>IF(AND('Mapa final'!$Y$58="Muy Baja",'Mapa final'!$AA$58="Menor"),CONCATENATE("R9C",'Mapa final'!$O$58),"")</f>
        <v/>
      </c>
      <c r="T54" s="76" t="str">
        <f>IF(AND('Mapa final'!$Y$59="Muy Baja",'Mapa final'!$AA$59="Menor"),CONCATENATE("R9C",'Mapa final'!$O$59),"")</f>
        <v/>
      </c>
      <c r="U54" s="77" t="str">
        <f>IF(AND('Mapa final'!$Y$60="Muy Baja",'Mapa final'!$AA$60="Menor"),CONCATENATE("R9C",'Mapa final'!$O$60),"")</f>
        <v/>
      </c>
      <c r="V54" s="66" t="str">
        <f>IF(AND('Mapa final'!$Y$55="Muy Baja",'Mapa final'!$AA$55="Moderado"),CONCATENATE("R9C",'Mapa final'!$O$55),"")</f>
        <v/>
      </c>
      <c r="W54" s="67" t="str">
        <f>IF(AND('Mapa final'!$Y$56="Muy Baja",'Mapa final'!$AA$56="Moderado"),CONCATENATE("R9C",'Mapa final'!$O$56),"")</f>
        <v/>
      </c>
      <c r="X54" s="67" t="str">
        <f>IF(AND('Mapa final'!$Y$57="Muy Baja",'Mapa final'!$AA$57="Moderado"),CONCATENATE("R9C",'Mapa final'!$O$57),"")</f>
        <v/>
      </c>
      <c r="Y54" s="67" t="str">
        <f>IF(AND('Mapa final'!$Y$58="Muy Baja",'Mapa final'!$AA$58="Moderado"),CONCATENATE("R9C",'Mapa final'!$O$58),"")</f>
        <v/>
      </c>
      <c r="Z54" s="67" t="str">
        <f>IF(AND('Mapa final'!$Y$59="Muy Baja",'Mapa final'!$AA$59="Moderado"),CONCATENATE("R9C",'Mapa final'!$O$59),"")</f>
        <v/>
      </c>
      <c r="AA54" s="68" t="str">
        <f>IF(AND('Mapa final'!$Y$60="Muy Baja",'Mapa final'!$AA$60="Moderado"),CONCATENATE("R9C",'Mapa final'!$O$60),"")</f>
        <v/>
      </c>
      <c r="AB54" s="51" t="str">
        <f>IF(AND('Mapa final'!$Y$55="Muy Baja",'Mapa final'!$AA$55="Mayor"),CONCATENATE("R9C",'Mapa final'!$O$55),"")</f>
        <v/>
      </c>
      <c r="AC54" s="52" t="str">
        <f>IF(AND('Mapa final'!$Y$56="Muy Baja",'Mapa final'!$AA$56="Mayor"),CONCATENATE("R9C",'Mapa final'!$O$56),"")</f>
        <v/>
      </c>
      <c r="AD54" s="52" t="str">
        <f>IF(AND('Mapa final'!$Y$57="Muy Baja",'Mapa final'!$AA$57="Mayor"),CONCATENATE("R9C",'Mapa final'!$O$57),"")</f>
        <v/>
      </c>
      <c r="AE54" s="52" t="str">
        <f>IF(AND('Mapa final'!$Y$58="Muy Baja",'Mapa final'!$AA$58="Mayor"),CONCATENATE("R9C",'Mapa final'!$O$58),"")</f>
        <v/>
      </c>
      <c r="AF54" s="52" t="str">
        <f>IF(AND('Mapa final'!$Y$59="Muy Baja",'Mapa final'!$AA$59="Mayor"),CONCATENATE("R9C",'Mapa final'!$O$59),"")</f>
        <v/>
      </c>
      <c r="AG54" s="53" t="str">
        <f>IF(AND('Mapa final'!$Y$60="Muy Baja",'Mapa final'!$AA$60="Mayor"),CONCATENATE("R9C",'Mapa final'!$O$60),"")</f>
        <v/>
      </c>
      <c r="AH54" s="54" t="str">
        <f>IF(AND('Mapa final'!$Y$55="Muy Baja",'Mapa final'!$AA$55="Catastrófico"),CONCATENATE("R9C",'Mapa final'!$O$55),"")</f>
        <v/>
      </c>
      <c r="AI54" s="55" t="str">
        <f>IF(AND('Mapa final'!$Y$56="Muy Baja",'Mapa final'!$AA$56="Catastrófico"),CONCATENATE("R9C",'Mapa final'!$O$56),"")</f>
        <v/>
      </c>
      <c r="AJ54" s="55" t="str">
        <f>IF(AND('Mapa final'!$Y$57="Muy Baja",'Mapa final'!$AA$57="Catastrófico"),CONCATENATE("R9C",'Mapa final'!$O$57),"")</f>
        <v/>
      </c>
      <c r="AK54" s="55" t="str">
        <f>IF(AND('Mapa final'!$Y$58="Muy Baja",'Mapa final'!$AA$58="Catastrófico"),CONCATENATE("R9C",'Mapa final'!$O$58),"")</f>
        <v/>
      </c>
      <c r="AL54" s="55" t="str">
        <f>IF(AND('Mapa final'!$Y$59="Muy Baja",'Mapa final'!$AA$59="Catastrófico"),CONCATENATE("R9C",'Mapa final'!$O$59),"")</f>
        <v/>
      </c>
      <c r="AM54" s="56" t="str">
        <f>IF(AND('Mapa final'!$Y$60="Muy Baja",'Mapa final'!$AA$60="Catastrófico"),CONCATENATE("R9C",'Mapa final'!$O$60),"")</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446"/>
      <c r="C55" s="446"/>
      <c r="D55" s="447"/>
      <c r="E55" s="490"/>
      <c r="F55" s="491"/>
      <c r="G55" s="491"/>
      <c r="H55" s="491"/>
      <c r="I55" s="492"/>
      <c r="J55" s="78" t="str">
        <f>IF(AND('Mapa final'!$Y$61="Muy Baja",'Mapa final'!$AA$61="Leve"),CONCATENATE("R10C",'Mapa final'!$O$61),"")</f>
        <v/>
      </c>
      <c r="K55" s="79" t="str">
        <f>IF(AND('Mapa final'!$Y$62="Muy Baja",'Mapa final'!$AA$62="Leve"),CONCATENATE("R10C",'Mapa final'!$O$62),"")</f>
        <v/>
      </c>
      <c r="L55" s="79" t="str">
        <f>IF(AND('Mapa final'!$Y$63="Muy Baja",'Mapa final'!$AA$63="Leve"),CONCATENATE("R10C",'Mapa final'!$O$63),"")</f>
        <v/>
      </c>
      <c r="M55" s="79" t="str">
        <f>IF(AND('Mapa final'!$Y$64="Muy Baja",'Mapa final'!$AA$64="Leve"),CONCATENATE("R10C",'Mapa final'!$O$64),"")</f>
        <v/>
      </c>
      <c r="N55" s="79" t="str">
        <f>IF(AND('Mapa final'!$Y$65="Muy Baja",'Mapa final'!$AA$65="Leve"),CONCATENATE("R10C",'Mapa final'!$O$65),"")</f>
        <v/>
      </c>
      <c r="O55" s="80" t="str">
        <f>IF(AND('Mapa final'!$Y$66="Muy Baja",'Mapa final'!$AA$66="Leve"),CONCATENATE("R10C",'Mapa final'!$O$66),"")</f>
        <v/>
      </c>
      <c r="P55" s="78" t="str">
        <f>IF(AND('Mapa final'!$Y$61="Muy Baja",'Mapa final'!$AA$61="Menor"),CONCATENATE("R10C",'Mapa final'!$O$61),"")</f>
        <v/>
      </c>
      <c r="Q55" s="79" t="str">
        <f>IF(AND('Mapa final'!$Y$62="Muy Baja",'Mapa final'!$AA$62="Menor"),CONCATENATE("R10C",'Mapa final'!$O$62),"")</f>
        <v/>
      </c>
      <c r="R55" s="79" t="str">
        <f>IF(AND('Mapa final'!$Y$63="Muy Baja",'Mapa final'!$AA$63="Menor"),CONCATENATE("R10C",'Mapa final'!$O$63),"")</f>
        <v/>
      </c>
      <c r="S55" s="79" t="str">
        <f>IF(AND('Mapa final'!$Y$64="Muy Baja",'Mapa final'!$AA$64="Menor"),CONCATENATE("R10C",'Mapa final'!$O$64),"")</f>
        <v/>
      </c>
      <c r="T55" s="79" t="str">
        <f>IF(AND('Mapa final'!$Y$65="Muy Baja",'Mapa final'!$AA$65="Menor"),CONCATENATE("R10C",'Mapa final'!$O$65),"")</f>
        <v/>
      </c>
      <c r="U55" s="80" t="str">
        <f>IF(AND('Mapa final'!$Y$66="Muy Baja",'Mapa final'!$AA$66="Menor"),CONCATENATE("R10C",'Mapa final'!$O$66),"")</f>
        <v/>
      </c>
      <c r="V55" s="69" t="str">
        <f>IF(AND('Mapa final'!$Y$61="Muy Baja",'Mapa final'!$AA$61="Moderado"),CONCATENATE("R10C",'Mapa final'!$O$61),"")</f>
        <v/>
      </c>
      <c r="W55" s="70" t="str">
        <f>IF(AND('Mapa final'!$Y$62="Muy Baja",'Mapa final'!$AA$62="Moderado"),CONCATENATE("R10C",'Mapa final'!$O$62),"")</f>
        <v/>
      </c>
      <c r="X55" s="70" t="str">
        <f>IF(AND('Mapa final'!$Y$63="Muy Baja",'Mapa final'!$AA$63="Moderado"),CONCATENATE("R10C",'Mapa final'!$O$63),"")</f>
        <v/>
      </c>
      <c r="Y55" s="70" t="str">
        <f>IF(AND('Mapa final'!$Y$64="Muy Baja",'Mapa final'!$AA$64="Moderado"),CONCATENATE("R10C",'Mapa final'!$O$64),"")</f>
        <v/>
      </c>
      <c r="Z55" s="70" t="str">
        <f>IF(AND('Mapa final'!$Y$65="Muy Baja",'Mapa final'!$AA$65="Moderado"),CONCATENATE("R10C",'Mapa final'!$O$65),"")</f>
        <v/>
      </c>
      <c r="AA55" s="71" t="str">
        <f>IF(AND('Mapa final'!$Y$66="Muy Baja",'Mapa final'!$AA$66="Moderado"),CONCATENATE("R10C",'Mapa final'!$O$66),"")</f>
        <v/>
      </c>
      <c r="AB55" s="57" t="str">
        <f>IF(AND('Mapa final'!$Y$61="Muy Baja",'Mapa final'!$AA$61="Mayor"),CONCATENATE("R10C",'Mapa final'!$O$61),"")</f>
        <v/>
      </c>
      <c r="AC55" s="58" t="str">
        <f>IF(AND('Mapa final'!$Y$62="Muy Baja",'Mapa final'!$AA$62="Mayor"),CONCATENATE("R10C",'Mapa final'!$O$62),"")</f>
        <v/>
      </c>
      <c r="AD55" s="58" t="str">
        <f>IF(AND('Mapa final'!$Y$63="Muy Baja",'Mapa final'!$AA$63="Mayor"),CONCATENATE("R10C",'Mapa final'!$O$63),"")</f>
        <v/>
      </c>
      <c r="AE55" s="58" t="str">
        <f>IF(AND('Mapa final'!$Y$64="Muy Baja",'Mapa final'!$AA$64="Mayor"),CONCATENATE("R10C",'Mapa final'!$O$64),"")</f>
        <v/>
      </c>
      <c r="AF55" s="58" t="str">
        <f>IF(AND('Mapa final'!$Y$65="Muy Baja",'Mapa final'!$AA$65="Mayor"),CONCATENATE("R10C",'Mapa final'!$O$65),"")</f>
        <v/>
      </c>
      <c r="AG55" s="59" t="str">
        <f>IF(AND('Mapa final'!$Y$66="Muy Baja",'Mapa final'!$AA$66="Mayor"),CONCATENATE("R10C",'Mapa final'!$O$66),"")</f>
        <v/>
      </c>
      <c r="AH55" s="60" t="str">
        <f>IF(AND('Mapa final'!$Y$61="Muy Baja",'Mapa final'!$AA$61="Catastrófico"),CONCATENATE("R10C",'Mapa final'!$O$61),"")</f>
        <v/>
      </c>
      <c r="AI55" s="61" t="str">
        <f>IF(AND('Mapa final'!$Y$62="Muy Baja",'Mapa final'!$AA$62="Catastrófico"),CONCATENATE("R10C",'Mapa final'!$O$62),"")</f>
        <v/>
      </c>
      <c r="AJ55" s="61" t="str">
        <f>IF(AND('Mapa final'!$Y$63="Muy Baja",'Mapa final'!$AA$63="Catastrófico"),CONCATENATE("R10C",'Mapa final'!$O$63),"")</f>
        <v/>
      </c>
      <c r="AK55" s="61" t="str">
        <f>IF(AND('Mapa final'!$Y$64="Muy Baja",'Mapa final'!$AA$64="Catastrófico"),CONCATENATE("R10C",'Mapa final'!$O$64),"")</f>
        <v/>
      </c>
      <c r="AL55" s="61" t="str">
        <f>IF(AND('Mapa final'!$Y$65="Muy Baja",'Mapa final'!$AA$65="Catastrófico"),CONCATENATE("R10C",'Mapa final'!$O$65),"")</f>
        <v/>
      </c>
      <c r="AM55" s="62" t="str">
        <f>IF(AND('Mapa final'!$Y$66="Muy Baja",'Mapa final'!$AA$66="Catastrófico"),CONCATENATE("R10C",'Mapa final'!$O$66),"")</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484" t="s">
        <v>111</v>
      </c>
      <c r="K56" s="485"/>
      <c r="L56" s="485"/>
      <c r="M56" s="485"/>
      <c r="N56" s="485"/>
      <c r="O56" s="486"/>
      <c r="P56" s="484" t="s">
        <v>110</v>
      </c>
      <c r="Q56" s="485"/>
      <c r="R56" s="485"/>
      <c r="S56" s="485"/>
      <c r="T56" s="485"/>
      <c r="U56" s="486"/>
      <c r="V56" s="484" t="s">
        <v>109</v>
      </c>
      <c r="W56" s="485"/>
      <c r="X56" s="485"/>
      <c r="Y56" s="485"/>
      <c r="Z56" s="485"/>
      <c r="AA56" s="486"/>
      <c r="AB56" s="484" t="s">
        <v>108</v>
      </c>
      <c r="AC56" s="493"/>
      <c r="AD56" s="485"/>
      <c r="AE56" s="485"/>
      <c r="AF56" s="485"/>
      <c r="AG56" s="486"/>
      <c r="AH56" s="484" t="s">
        <v>107</v>
      </c>
      <c r="AI56" s="485"/>
      <c r="AJ56" s="485"/>
      <c r="AK56" s="485"/>
      <c r="AL56" s="485"/>
      <c r="AM56" s="486"/>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487"/>
      <c r="K57" s="488"/>
      <c r="L57" s="488"/>
      <c r="M57" s="488"/>
      <c r="N57" s="488"/>
      <c r="O57" s="489"/>
      <c r="P57" s="487"/>
      <c r="Q57" s="488"/>
      <c r="R57" s="488"/>
      <c r="S57" s="488"/>
      <c r="T57" s="488"/>
      <c r="U57" s="489"/>
      <c r="V57" s="487"/>
      <c r="W57" s="488"/>
      <c r="X57" s="488"/>
      <c r="Y57" s="488"/>
      <c r="Z57" s="488"/>
      <c r="AA57" s="489"/>
      <c r="AB57" s="487"/>
      <c r="AC57" s="488"/>
      <c r="AD57" s="488"/>
      <c r="AE57" s="488"/>
      <c r="AF57" s="488"/>
      <c r="AG57" s="489"/>
      <c r="AH57" s="487"/>
      <c r="AI57" s="488"/>
      <c r="AJ57" s="488"/>
      <c r="AK57" s="488"/>
      <c r="AL57" s="488"/>
      <c r="AM57" s="489"/>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487"/>
      <c r="K58" s="488"/>
      <c r="L58" s="488"/>
      <c r="M58" s="488"/>
      <c r="N58" s="488"/>
      <c r="O58" s="489"/>
      <c r="P58" s="487"/>
      <c r="Q58" s="488"/>
      <c r="R58" s="488"/>
      <c r="S58" s="488"/>
      <c r="T58" s="488"/>
      <c r="U58" s="489"/>
      <c r="V58" s="487"/>
      <c r="W58" s="488"/>
      <c r="X58" s="488"/>
      <c r="Y58" s="488"/>
      <c r="Z58" s="488"/>
      <c r="AA58" s="489"/>
      <c r="AB58" s="487"/>
      <c r="AC58" s="488"/>
      <c r="AD58" s="488"/>
      <c r="AE58" s="488"/>
      <c r="AF58" s="488"/>
      <c r="AG58" s="489"/>
      <c r="AH58" s="487"/>
      <c r="AI58" s="488"/>
      <c r="AJ58" s="488"/>
      <c r="AK58" s="488"/>
      <c r="AL58" s="488"/>
      <c r="AM58" s="489"/>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487"/>
      <c r="K59" s="488"/>
      <c r="L59" s="488"/>
      <c r="M59" s="488"/>
      <c r="N59" s="488"/>
      <c r="O59" s="489"/>
      <c r="P59" s="487"/>
      <c r="Q59" s="488"/>
      <c r="R59" s="488"/>
      <c r="S59" s="488"/>
      <c r="T59" s="488"/>
      <c r="U59" s="489"/>
      <c r="V59" s="487"/>
      <c r="W59" s="488"/>
      <c r="X59" s="488"/>
      <c r="Y59" s="488"/>
      <c r="Z59" s="488"/>
      <c r="AA59" s="489"/>
      <c r="AB59" s="487"/>
      <c r="AC59" s="488"/>
      <c r="AD59" s="488"/>
      <c r="AE59" s="488"/>
      <c r="AF59" s="488"/>
      <c r="AG59" s="489"/>
      <c r="AH59" s="487"/>
      <c r="AI59" s="488"/>
      <c r="AJ59" s="488"/>
      <c r="AK59" s="488"/>
      <c r="AL59" s="488"/>
      <c r="AM59" s="489"/>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487"/>
      <c r="K60" s="488"/>
      <c r="L60" s="488"/>
      <c r="M60" s="488"/>
      <c r="N60" s="488"/>
      <c r="O60" s="489"/>
      <c r="P60" s="487"/>
      <c r="Q60" s="488"/>
      <c r="R60" s="488"/>
      <c r="S60" s="488"/>
      <c r="T60" s="488"/>
      <c r="U60" s="489"/>
      <c r="V60" s="487"/>
      <c r="W60" s="488"/>
      <c r="X60" s="488"/>
      <c r="Y60" s="488"/>
      <c r="Z60" s="488"/>
      <c r="AA60" s="489"/>
      <c r="AB60" s="487"/>
      <c r="AC60" s="488"/>
      <c r="AD60" s="488"/>
      <c r="AE60" s="488"/>
      <c r="AF60" s="488"/>
      <c r="AG60" s="489"/>
      <c r="AH60" s="487"/>
      <c r="AI60" s="488"/>
      <c r="AJ60" s="488"/>
      <c r="AK60" s="488"/>
      <c r="AL60" s="488"/>
      <c r="AM60" s="489"/>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490"/>
      <c r="K61" s="491"/>
      <c r="L61" s="491"/>
      <c r="M61" s="491"/>
      <c r="N61" s="491"/>
      <c r="O61" s="492"/>
      <c r="P61" s="490"/>
      <c r="Q61" s="491"/>
      <c r="R61" s="491"/>
      <c r="S61" s="491"/>
      <c r="T61" s="491"/>
      <c r="U61" s="492"/>
      <c r="V61" s="490"/>
      <c r="W61" s="491"/>
      <c r="X61" s="491"/>
      <c r="Y61" s="491"/>
      <c r="Z61" s="491"/>
      <c r="AA61" s="492"/>
      <c r="AB61" s="490"/>
      <c r="AC61" s="491"/>
      <c r="AD61" s="491"/>
      <c r="AE61" s="491"/>
      <c r="AF61" s="491"/>
      <c r="AG61" s="492"/>
      <c r="AH61" s="490"/>
      <c r="AI61" s="491"/>
      <c r="AJ61" s="491"/>
      <c r="AK61" s="491"/>
      <c r="AL61" s="491"/>
      <c r="AM61" s="49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2"/>
      <c r="B1" s="533" t="s">
        <v>54</v>
      </c>
      <c r="C1" s="533"/>
      <c r="D1" s="533"/>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0"/>
      <c r="C3" s="11" t="s">
        <v>51</v>
      </c>
      <c r="D3" s="11" t="s">
        <v>4</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2" t="s">
        <v>50</v>
      </c>
      <c r="C4" s="13" t="s">
        <v>101</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5" t="s">
        <v>52</v>
      </c>
      <c r="C5" s="16" t="s">
        <v>102</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8" t="s">
        <v>106</v>
      </c>
      <c r="C6" s="16" t="s">
        <v>103</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9" t="s">
        <v>6</v>
      </c>
      <c r="C7" s="16" t="s">
        <v>104</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0" t="s">
        <v>53</v>
      </c>
      <c r="C8" s="16" t="s">
        <v>105</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6"/>
      <c r="C9" s="106"/>
      <c r="D9" s="106"/>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7"/>
      <c r="C10" s="106"/>
      <c r="D10" s="106"/>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6"/>
      <c r="C11" s="106"/>
      <c r="D11" s="106"/>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6"/>
      <c r="C12" s="106"/>
      <c r="D12" s="106"/>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6"/>
      <c r="C13" s="106"/>
      <c r="D13" s="106"/>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6"/>
      <c r="C14" s="106"/>
      <c r="D14" s="106"/>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6"/>
      <c r="C15" s="106"/>
      <c r="D15" s="106"/>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6"/>
      <c r="C16" s="106"/>
      <c r="D16" s="106"/>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6"/>
      <c r="C17" s="106"/>
      <c r="D17" s="10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6"/>
      <c r="C18" s="106"/>
      <c r="D18" s="106"/>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A176"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2"/>
      <c r="B1" s="534" t="s">
        <v>62</v>
      </c>
      <c r="C1" s="534"/>
      <c r="D1" s="534"/>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3"/>
      <c r="C3" s="35" t="s">
        <v>55</v>
      </c>
      <c r="D3" s="35" t="s">
        <v>56</v>
      </c>
      <c r="E3" s="82"/>
      <c r="F3" s="82"/>
      <c r="G3" s="82"/>
      <c r="H3" s="82"/>
      <c r="I3" s="82"/>
      <c r="J3" s="82"/>
      <c r="K3" s="82"/>
      <c r="L3" s="82"/>
      <c r="M3" s="82"/>
      <c r="N3" s="82"/>
      <c r="O3" s="82"/>
      <c r="P3" s="82"/>
      <c r="Q3" s="82"/>
      <c r="R3" s="82"/>
      <c r="S3" s="82"/>
      <c r="T3" s="82"/>
      <c r="U3" s="82"/>
    </row>
    <row r="4" spans="1:21" ht="33.75" x14ac:dyDescent="0.25">
      <c r="A4" s="102" t="s">
        <v>82</v>
      </c>
      <c r="B4" s="38" t="s">
        <v>100</v>
      </c>
      <c r="C4" s="43" t="s">
        <v>155</v>
      </c>
      <c r="D4" s="36" t="s">
        <v>96</v>
      </c>
      <c r="E4" s="82"/>
      <c r="F4" s="82"/>
      <c r="G4" s="82"/>
      <c r="H4" s="82"/>
      <c r="I4" s="82"/>
      <c r="J4" s="82"/>
      <c r="K4" s="82"/>
      <c r="L4" s="82"/>
      <c r="M4" s="82"/>
      <c r="N4" s="82"/>
      <c r="O4" s="82"/>
      <c r="P4" s="82"/>
      <c r="Q4" s="82"/>
      <c r="R4" s="82"/>
      <c r="S4" s="82"/>
      <c r="T4" s="82"/>
      <c r="U4" s="82"/>
    </row>
    <row r="5" spans="1:21" ht="67.5" x14ac:dyDescent="0.25">
      <c r="A5" s="102" t="s">
        <v>83</v>
      </c>
      <c r="B5" s="39" t="s">
        <v>58</v>
      </c>
      <c r="C5" s="44" t="s">
        <v>92</v>
      </c>
      <c r="D5" s="37" t="s">
        <v>97</v>
      </c>
      <c r="E5" s="82"/>
      <c r="F5" s="82"/>
      <c r="G5" s="82"/>
      <c r="H5" s="82"/>
      <c r="I5" s="82"/>
      <c r="J5" s="82"/>
      <c r="K5" s="82"/>
      <c r="L5" s="82"/>
      <c r="M5" s="82"/>
      <c r="N5" s="82"/>
      <c r="O5" s="82"/>
      <c r="P5" s="82"/>
      <c r="Q5" s="82"/>
      <c r="R5" s="82"/>
      <c r="S5" s="82"/>
      <c r="T5" s="82"/>
      <c r="U5" s="82"/>
    </row>
    <row r="6" spans="1:21" ht="67.5" x14ac:dyDescent="0.25">
      <c r="A6" s="102" t="s">
        <v>80</v>
      </c>
      <c r="B6" s="40" t="s">
        <v>59</v>
      </c>
      <c r="C6" s="44" t="s">
        <v>93</v>
      </c>
      <c r="D6" s="37" t="s">
        <v>99</v>
      </c>
      <c r="E6" s="82"/>
      <c r="F6" s="82"/>
      <c r="G6" s="82"/>
      <c r="H6" s="82"/>
      <c r="I6" s="82"/>
      <c r="J6" s="82"/>
      <c r="K6" s="82"/>
      <c r="L6" s="82"/>
      <c r="M6" s="82"/>
      <c r="N6" s="82"/>
      <c r="O6" s="82"/>
      <c r="P6" s="82"/>
      <c r="Q6" s="82"/>
      <c r="R6" s="82"/>
      <c r="S6" s="82"/>
      <c r="T6" s="82"/>
      <c r="U6" s="82"/>
    </row>
    <row r="7" spans="1:21" ht="101.25" x14ac:dyDescent="0.25">
      <c r="A7" s="102" t="s">
        <v>7</v>
      </c>
      <c r="B7" s="41" t="s">
        <v>60</v>
      </c>
      <c r="C7" s="44" t="s">
        <v>94</v>
      </c>
      <c r="D7" s="37" t="s">
        <v>98</v>
      </c>
      <c r="E7" s="82"/>
      <c r="F7" s="82"/>
      <c r="G7" s="82"/>
      <c r="H7" s="82"/>
      <c r="I7" s="82"/>
      <c r="J7" s="82"/>
      <c r="K7" s="82"/>
      <c r="L7" s="82"/>
      <c r="M7" s="82"/>
      <c r="N7" s="82"/>
      <c r="O7" s="82"/>
      <c r="P7" s="82"/>
      <c r="Q7" s="82"/>
      <c r="R7" s="82"/>
      <c r="S7" s="82"/>
      <c r="T7" s="82"/>
      <c r="U7" s="82"/>
    </row>
    <row r="8" spans="1:21" ht="67.5" x14ac:dyDescent="0.25">
      <c r="A8" s="102" t="s">
        <v>84</v>
      </c>
      <c r="B8" s="42" t="s">
        <v>61</v>
      </c>
      <c r="C8" s="44" t="s">
        <v>95</v>
      </c>
      <c r="D8" s="37" t="s">
        <v>117</v>
      </c>
      <c r="E8" s="82"/>
      <c r="F8" s="82"/>
      <c r="G8" s="82"/>
      <c r="H8" s="82"/>
      <c r="I8" s="82"/>
      <c r="J8" s="82"/>
      <c r="K8" s="82"/>
      <c r="L8" s="82"/>
      <c r="M8" s="82"/>
      <c r="N8" s="82"/>
      <c r="O8" s="82"/>
      <c r="P8" s="82"/>
      <c r="Q8" s="82"/>
      <c r="R8" s="82"/>
      <c r="S8" s="82"/>
      <c r="T8" s="82"/>
      <c r="U8" s="82"/>
    </row>
    <row r="9" spans="1:21" ht="20.25" x14ac:dyDescent="0.25">
      <c r="A9" s="102"/>
      <c r="B9" s="102"/>
      <c r="C9" s="104"/>
      <c r="D9" s="104"/>
      <c r="E9" s="82"/>
      <c r="F9" s="82"/>
      <c r="G9" s="82"/>
      <c r="H9" s="82"/>
      <c r="I9" s="82"/>
      <c r="J9" s="82"/>
      <c r="K9" s="82"/>
      <c r="L9" s="82"/>
      <c r="M9" s="82"/>
      <c r="N9" s="82"/>
      <c r="O9" s="82"/>
      <c r="P9" s="82"/>
      <c r="Q9" s="82"/>
      <c r="R9" s="82"/>
      <c r="S9" s="82"/>
      <c r="T9" s="82"/>
      <c r="U9" s="82"/>
    </row>
    <row r="10" spans="1:21" ht="16.5" x14ac:dyDescent="0.25">
      <c r="A10" s="102"/>
      <c r="B10" s="105"/>
      <c r="C10" s="105"/>
      <c r="D10" s="105"/>
      <c r="E10" s="82"/>
      <c r="F10" s="82"/>
      <c r="G10" s="82"/>
      <c r="H10" s="82"/>
      <c r="I10" s="82"/>
      <c r="J10" s="82"/>
      <c r="K10" s="82"/>
      <c r="L10" s="82"/>
      <c r="M10" s="82"/>
      <c r="N10" s="82"/>
      <c r="O10" s="82"/>
      <c r="P10" s="82"/>
      <c r="Q10" s="82"/>
      <c r="R10" s="82"/>
      <c r="S10" s="82"/>
      <c r="T10" s="82"/>
      <c r="U10" s="82"/>
    </row>
    <row r="11" spans="1:21" x14ac:dyDescent="0.25">
      <c r="A11" s="102"/>
      <c r="B11" s="102" t="s">
        <v>90</v>
      </c>
      <c r="C11" s="102" t="s">
        <v>143</v>
      </c>
      <c r="D11" s="102" t="s">
        <v>150</v>
      </c>
      <c r="E11" s="82"/>
      <c r="F11" s="82"/>
      <c r="G11" s="82"/>
      <c r="H11" s="82"/>
      <c r="I11" s="82"/>
      <c r="J11" s="82"/>
      <c r="K11" s="82"/>
      <c r="L11" s="82"/>
      <c r="M11" s="82"/>
      <c r="N11" s="82"/>
      <c r="O11" s="82"/>
      <c r="P11" s="82"/>
      <c r="Q11" s="82"/>
      <c r="R11" s="82"/>
      <c r="S11" s="82"/>
      <c r="T11" s="82"/>
      <c r="U11" s="82"/>
    </row>
    <row r="12" spans="1:21" x14ac:dyDescent="0.25">
      <c r="A12" s="102"/>
      <c r="B12" s="102" t="s">
        <v>88</v>
      </c>
      <c r="C12" s="102" t="s">
        <v>147</v>
      </c>
      <c r="D12" s="102" t="s">
        <v>151</v>
      </c>
      <c r="E12" s="82"/>
      <c r="F12" s="82"/>
      <c r="G12" s="82"/>
      <c r="H12" s="82"/>
      <c r="I12" s="82"/>
      <c r="J12" s="82"/>
      <c r="K12" s="82"/>
      <c r="L12" s="82"/>
      <c r="M12" s="82"/>
      <c r="N12" s="82"/>
      <c r="O12" s="82"/>
      <c r="P12" s="82"/>
      <c r="Q12" s="82"/>
      <c r="R12" s="82"/>
      <c r="S12" s="82"/>
      <c r="T12" s="82"/>
      <c r="U12" s="82"/>
    </row>
    <row r="13" spans="1:21" x14ac:dyDescent="0.25">
      <c r="A13" s="102"/>
      <c r="B13" s="102"/>
      <c r="C13" s="102" t="s">
        <v>146</v>
      </c>
      <c r="D13" s="102" t="s">
        <v>152</v>
      </c>
      <c r="E13" s="82"/>
      <c r="F13" s="82"/>
      <c r="G13" s="82"/>
      <c r="H13" s="82"/>
      <c r="I13" s="82"/>
      <c r="J13" s="82"/>
      <c r="K13" s="82"/>
      <c r="L13" s="82"/>
      <c r="M13" s="82"/>
      <c r="N13" s="82"/>
      <c r="O13" s="82"/>
      <c r="P13" s="82"/>
      <c r="Q13" s="82"/>
      <c r="R13" s="82"/>
      <c r="S13" s="82"/>
      <c r="T13" s="82"/>
      <c r="U13" s="82"/>
    </row>
    <row r="14" spans="1:21" x14ac:dyDescent="0.25">
      <c r="A14" s="102"/>
      <c r="B14" s="102"/>
      <c r="C14" s="102" t="s">
        <v>148</v>
      </c>
      <c r="D14" s="102" t="s">
        <v>153</v>
      </c>
      <c r="E14" s="82"/>
      <c r="F14" s="82"/>
      <c r="G14" s="82"/>
      <c r="H14" s="82"/>
      <c r="I14" s="82"/>
      <c r="J14" s="82"/>
      <c r="K14" s="82"/>
      <c r="L14" s="82"/>
      <c r="M14" s="82"/>
      <c r="N14" s="82"/>
      <c r="O14" s="82"/>
      <c r="P14" s="82"/>
      <c r="Q14" s="82"/>
      <c r="R14" s="82"/>
      <c r="S14" s="82"/>
      <c r="T14" s="82"/>
      <c r="U14" s="82"/>
    </row>
    <row r="15" spans="1:21" x14ac:dyDescent="0.25">
      <c r="A15" s="102"/>
      <c r="B15" s="102"/>
      <c r="C15" s="102" t="s">
        <v>149</v>
      </c>
      <c r="D15" s="102" t="s">
        <v>154</v>
      </c>
      <c r="E15" s="82"/>
      <c r="F15" s="82"/>
      <c r="G15" s="82"/>
      <c r="H15" s="82"/>
      <c r="I15" s="82"/>
      <c r="J15" s="82"/>
      <c r="K15" s="82"/>
      <c r="L15" s="82"/>
      <c r="M15" s="82"/>
      <c r="N15" s="82"/>
      <c r="O15" s="82"/>
      <c r="P15" s="82"/>
      <c r="Q15" s="82"/>
      <c r="R15" s="82"/>
      <c r="S15" s="82"/>
      <c r="T15" s="82"/>
      <c r="U15" s="82"/>
    </row>
    <row r="16" spans="1:21" x14ac:dyDescent="0.25">
      <c r="A16" s="102"/>
      <c r="B16" s="102"/>
      <c r="C16" s="102"/>
      <c r="D16" s="102"/>
      <c r="E16" s="82"/>
      <c r="F16" s="82"/>
      <c r="G16" s="82"/>
      <c r="H16" s="82"/>
      <c r="I16" s="82"/>
      <c r="J16" s="82"/>
      <c r="K16" s="82"/>
      <c r="L16" s="82"/>
      <c r="M16" s="82"/>
      <c r="N16" s="82"/>
      <c r="O16" s="82"/>
    </row>
    <row r="17" spans="1:15" x14ac:dyDescent="0.25">
      <c r="A17" s="102"/>
      <c r="B17" s="102"/>
      <c r="C17" s="102"/>
      <c r="D17" s="102"/>
      <c r="E17" s="82"/>
      <c r="F17" s="82"/>
      <c r="G17" s="82"/>
      <c r="H17" s="82"/>
      <c r="I17" s="82"/>
      <c r="J17" s="82"/>
      <c r="K17" s="82"/>
      <c r="L17" s="82"/>
      <c r="M17" s="82"/>
      <c r="N17" s="82"/>
      <c r="O17" s="82"/>
    </row>
    <row r="18" spans="1:15" x14ac:dyDescent="0.25">
      <c r="A18" s="102"/>
      <c r="B18" s="106"/>
      <c r="C18" s="106"/>
      <c r="D18" s="106"/>
      <c r="E18" s="82"/>
      <c r="F18" s="82"/>
      <c r="G18" s="82"/>
      <c r="H18" s="82"/>
      <c r="I18" s="82"/>
      <c r="J18" s="82"/>
      <c r="K18" s="82"/>
      <c r="L18" s="82"/>
      <c r="M18" s="82"/>
      <c r="N18" s="82"/>
      <c r="O18" s="82"/>
    </row>
    <row r="19" spans="1:15" x14ac:dyDescent="0.25">
      <c r="A19" s="102"/>
      <c r="B19" s="106"/>
      <c r="C19" s="106"/>
      <c r="D19" s="106"/>
      <c r="E19" s="82"/>
      <c r="F19" s="82"/>
      <c r="G19" s="82"/>
      <c r="H19" s="82"/>
      <c r="I19" s="82"/>
      <c r="J19" s="82"/>
      <c r="K19" s="82"/>
      <c r="L19" s="82"/>
      <c r="M19" s="82"/>
      <c r="N19" s="82"/>
      <c r="O19" s="82"/>
    </row>
    <row r="20" spans="1:15" x14ac:dyDescent="0.25">
      <c r="A20" s="102"/>
      <c r="B20" s="106"/>
      <c r="C20" s="106"/>
      <c r="D20" s="106"/>
      <c r="E20" s="82"/>
      <c r="F20" s="82"/>
      <c r="G20" s="82"/>
      <c r="H20" s="82"/>
      <c r="I20" s="82"/>
      <c r="J20" s="82"/>
      <c r="K20" s="82"/>
      <c r="L20" s="82"/>
      <c r="M20" s="82"/>
      <c r="N20" s="82"/>
      <c r="O20" s="82"/>
    </row>
    <row r="21" spans="1:15" x14ac:dyDescent="0.25">
      <c r="A21" s="102"/>
      <c r="B21" s="106"/>
      <c r="C21" s="106"/>
      <c r="D21" s="106"/>
      <c r="E21" s="82"/>
      <c r="F21" s="82"/>
      <c r="G21" s="82"/>
      <c r="H21" s="82"/>
      <c r="I21" s="82"/>
      <c r="J21" s="82"/>
      <c r="K21" s="82"/>
      <c r="L21" s="82"/>
      <c r="M21" s="82"/>
      <c r="N21" s="82"/>
      <c r="O21" s="82"/>
    </row>
    <row r="22" spans="1:15" ht="20.25" x14ac:dyDescent="0.25">
      <c r="A22" s="102"/>
      <c r="B22" s="102"/>
      <c r="C22" s="104"/>
      <c r="D22" s="104"/>
      <c r="E22" s="82"/>
      <c r="F22" s="82"/>
      <c r="G22" s="82"/>
      <c r="H22" s="82"/>
      <c r="I22" s="82"/>
      <c r="J22" s="82"/>
      <c r="K22" s="82"/>
      <c r="L22" s="82"/>
      <c r="M22" s="82"/>
      <c r="N22" s="82"/>
      <c r="O22" s="82"/>
    </row>
    <row r="23" spans="1:15" ht="20.25" x14ac:dyDescent="0.25">
      <c r="A23" s="102"/>
      <c r="B23" s="102"/>
      <c r="C23" s="104"/>
      <c r="D23" s="104"/>
      <c r="E23" s="82"/>
      <c r="F23" s="82"/>
      <c r="G23" s="82"/>
      <c r="H23" s="82"/>
      <c r="I23" s="82"/>
      <c r="J23" s="82"/>
      <c r="K23" s="82"/>
      <c r="L23" s="82"/>
      <c r="M23" s="82"/>
      <c r="N23" s="82"/>
      <c r="O23" s="82"/>
    </row>
    <row r="24" spans="1:15" ht="20.25" x14ac:dyDescent="0.25">
      <c r="A24" s="102"/>
      <c r="B24" s="102"/>
      <c r="C24" s="104"/>
      <c r="D24" s="104"/>
      <c r="E24" s="82"/>
      <c r="F24" s="82"/>
      <c r="G24" s="82"/>
      <c r="H24" s="82"/>
      <c r="I24" s="82"/>
      <c r="J24" s="82"/>
      <c r="K24" s="82"/>
      <c r="L24" s="82"/>
      <c r="M24" s="82"/>
      <c r="N24" s="82"/>
      <c r="O24" s="82"/>
    </row>
    <row r="25" spans="1:15" ht="20.25" x14ac:dyDescent="0.25">
      <c r="A25" s="102"/>
      <c r="B25" s="102"/>
      <c r="C25" s="104"/>
      <c r="D25" s="104"/>
      <c r="E25" s="82"/>
      <c r="F25" s="82"/>
      <c r="G25" s="82"/>
      <c r="H25" s="82"/>
      <c r="I25" s="82"/>
      <c r="J25" s="82"/>
      <c r="K25" s="82"/>
      <c r="L25" s="82"/>
      <c r="M25" s="82"/>
      <c r="N25" s="82"/>
      <c r="O25" s="82"/>
    </row>
    <row r="26" spans="1:15" ht="20.25" x14ac:dyDescent="0.25">
      <c r="A26" s="102"/>
      <c r="B26" s="102"/>
      <c r="C26" s="104"/>
      <c r="D26" s="104"/>
      <c r="E26" s="82"/>
      <c r="F26" s="82"/>
      <c r="G26" s="82"/>
      <c r="H26" s="82"/>
      <c r="I26" s="82"/>
      <c r="J26" s="82"/>
      <c r="K26" s="82"/>
      <c r="L26" s="82"/>
      <c r="M26" s="82"/>
      <c r="N26" s="82"/>
      <c r="O26" s="82"/>
    </row>
    <row r="27" spans="1:15" ht="20.25" x14ac:dyDescent="0.25">
      <c r="A27" s="102"/>
      <c r="B27" s="102"/>
      <c r="C27" s="104"/>
      <c r="D27" s="104"/>
      <c r="E27" s="82"/>
      <c r="F27" s="82"/>
      <c r="G27" s="82"/>
      <c r="H27" s="82"/>
      <c r="I27" s="82"/>
      <c r="J27" s="82"/>
      <c r="K27" s="82"/>
      <c r="L27" s="82"/>
      <c r="M27" s="82"/>
      <c r="N27" s="82"/>
      <c r="O27" s="82"/>
    </row>
    <row r="28" spans="1:15" ht="20.25" x14ac:dyDescent="0.25">
      <c r="A28" s="102"/>
      <c r="B28" s="102"/>
      <c r="C28" s="104"/>
      <c r="D28" s="104"/>
      <c r="E28" s="82"/>
      <c r="F28" s="82"/>
      <c r="G28" s="82"/>
      <c r="H28" s="82"/>
      <c r="I28" s="82"/>
      <c r="J28" s="82"/>
      <c r="K28" s="82"/>
      <c r="L28" s="82"/>
      <c r="M28" s="82"/>
      <c r="N28" s="82"/>
      <c r="O28" s="82"/>
    </row>
    <row r="29" spans="1:15" ht="20.25" x14ac:dyDescent="0.25">
      <c r="A29" s="102"/>
      <c r="B29" s="102"/>
      <c r="C29" s="104"/>
      <c r="D29" s="104"/>
      <c r="E29" s="82"/>
      <c r="F29" s="82"/>
      <c r="G29" s="82"/>
      <c r="H29" s="82"/>
      <c r="I29" s="82"/>
      <c r="J29" s="82"/>
      <c r="K29" s="82"/>
      <c r="L29" s="82"/>
      <c r="M29" s="82"/>
      <c r="N29" s="82"/>
      <c r="O29" s="82"/>
    </row>
    <row r="30" spans="1:15" ht="20.25" x14ac:dyDescent="0.25">
      <c r="A30" s="102"/>
      <c r="B30" s="102"/>
      <c r="C30" s="104"/>
      <c r="D30" s="104"/>
      <c r="E30" s="82"/>
      <c r="F30" s="82"/>
      <c r="G30" s="82"/>
      <c r="H30" s="82"/>
      <c r="I30" s="82"/>
      <c r="J30" s="82"/>
      <c r="K30" s="82"/>
      <c r="L30" s="82"/>
      <c r="M30" s="82"/>
      <c r="N30" s="82"/>
      <c r="O30" s="82"/>
    </row>
    <row r="31" spans="1:15" ht="20.25" x14ac:dyDescent="0.25">
      <c r="A31" s="102"/>
      <c r="B31" s="102"/>
      <c r="C31" s="104"/>
      <c r="D31" s="104"/>
      <c r="E31" s="82"/>
      <c r="F31" s="82"/>
      <c r="G31" s="82"/>
      <c r="H31" s="82"/>
      <c r="I31" s="82"/>
      <c r="J31" s="82"/>
      <c r="K31" s="82"/>
      <c r="L31" s="82"/>
      <c r="M31" s="82"/>
      <c r="N31" s="82"/>
      <c r="O31" s="82"/>
    </row>
    <row r="32" spans="1:15" ht="20.25" x14ac:dyDescent="0.25">
      <c r="A32" s="102"/>
      <c r="B32" s="102"/>
      <c r="C32" s="104"/>
      <c r="D32" s="104"/>
      <c r="E32" s="82"/>
      <c r="F32" s="82"/>
      <c r="G32" s="82"/>
      <c r="H32" s="82"/>
      <c r="I32" s="82"/>
      <c r="J32" s="82"/>
      <c r="K32" s="82"/>
      <c r="L32" s="82"/>
      <c r="M32" s="82"/>
      <c r="N32" s="82"/>
      <c r="O32" s="82"/>
    </row>
    <row r="33" spans="1:15" ht="20.25" x14ac:dyDescent="0.25">
      <c r="A33" s="102"/>
      <c r="B33" s="102"/>
      <c r="C33" s="104"/>
      <c r="D33" s="104"/>
      <c r="E33" s="82"/>
      <c r="F33" s="82"/>
      <c r="G33" s="82"/>
      <c r="H33" s="82"/>
      <c r="I33" s="82"/>
      <c r="J33" s="82"/>
      <c r="K33" s="82"/>
      <c r="L33" s="82"/>
      <c r="M33" s="82"/>
      <c r="N33" s="82"/>
      <c r="O33" s="82"/>
    </row>
    <row r="34" spans="1:15" ht="20.25" x14ac:dyDescent="0.25">
      <c r="A34" s="102"/>
      <c r="B34" s="102"/>
      <c r="C34" s="104"/>
      <c r="D34" s="104"/>
      <c r="E34" s="82"/>
      <c r="F34" s="82"/>
      <c r="G34" s="82"/>
      <c r="H34" s="82"/>
      <c r="I34" s="82"/>
      <c r="J34" s="82"/>
      <c r="K34" s="82"/>
      <c r="L34" s="82"/>
      <c r="M34" s="82"/>
      <c r="N34" s="82"/>
      <c r="O34" s="82"/>
    </row>
    <row r="35" spans="1:15" ht="20.25" x14ac:dyDescent="0.25">
      <c r="A35" s="102"/>
      <c r="B35" s="102"/>
      <c r="C35" s="104"/>
      <c r="D35" s="104"/>
      <c r="E35" s="82"/>
      <c r="F35" s="82"/>
      <c r="G35" s="82"/>
      <c r="H35" s="82"/>
      <c r="I35" s="82"/>
      <c r="J35" s="82"/>
      <c r="K35" s="82"/>
      <c r="L35" s="82"/>
      <c r="M35" s="82"/>
      <c r="N35" s="82"/>
      <c r="O35" s="82"/>
    </row>
    <row r="36" spans="1:15" ht="20.25" x14ac:dyDescent="0.25">
      <c r="A36" s="102"/>
      <c r="B36" s="102"/>
      <c r="C36" s="104"/>
      <c r="D36" s="104"/>
      <c r="E36" s="82"/>
      <c r="F36" s="82"/>
      <c r="G36" s="82"/>
      <c r="H36" s="82"/>
      <c r="I36" s="82"/>
      <c r="J36" s="82"/>
      <c r="K36" s="82"/>
      <c r="L36" s="82"/>
      <c r="M36" s="82"/>
      <c r="N36" s="82"/>
      <c r="O36" s="82"/>
    </row>
    <row r="37" spans="1:15" ht="20.25" x14ac:dyDescent="0.25">
      <c r="A37" s="102"/>
      <c r="B37" s="102"/>
      <c r="C37" s="104"/>
      <c r="D37" s="104"/>
      <c r="E37" s="82"/>
      <c r="F37" s="82"/>
      <c r="G37" s="82"/>
      <c r="H37" s="82"/>
      <c r="I37" s="82"/>
      <c r="J37" s="82"/>
      <c r="K37" s="82"/>
      <c r="L37" s="82"/>
      <c r="M37" s="82"/>
      <c r="N37" s="82"/>
      <c r="O37" s="82"/>
    </row>
    <row r="38" spans="1:15" ht="20.25" x14ac:dyDescent="0.25">
      <c r="A38" s="102"/>
      <c r="B38" s="102"/>
      <c r="C38" s="104"/>
      <c r="D38" s="104"/>
      <c r="E38" s="82"/>
      <c r="F38" s="82"/>
      <c r="G38" s="82"/>
      <c r="H38" s="82"/>
      <c r="I38" s="82"/>
      <c r="J38" s="82"/>
      <c r="K38" s="82"/>
      <c r="L38" s="82"/>
      <c r="M38" s="82"/>
      <c r="N38" s="82"/>
      <c r="O38" s="82"/>
    </row>
    <row r="39" spans="1:15" ht="20.25" x14ac:dyDescent="0.25">
      <c r="A39" s="102"/>
      <c r="B39" s="102"/>
      <c r="C39" s="104"/>
      <c r="D39" s="104"/>
      <c r="E39" s="82"/>
      <c r="F39" s="82"/>
      <c r="G39" s="82"/>
      <c r="H39" s="82"/>
      <c r="I39" s="82"/>
      <c r="J39" s="82"/>
      <c r="K39" s="82"/>
      <c r="L39" s="82"/>
      <c r="M39" s="82"/>
      <c r="N39" s="82"/>
      <c r="O39" s="82"/>
    </row>
    <row r="40" spans="1:15" ht="20.25" x14ac:dyDescent="0.25">
      <c r="A40" s="102"/>
      <c r="B40" s="102"/>
      <c r="C40" s="104"/>
      <c r="D40" s="104"/>
      <c r="E40" s="82"/>
      <c r="F40" s="82"/>
      <c r="G40" s="82"/>
      <c r="H40" s="82"/>
      <c r="I40" s="82"/>
      <c r="J40" s="82"/>
      <c r="K40" s="82"/>
      <c r="L40" s="82"/>
      <c r="M40" s="82"/>
      <c r="N40" s="82"/>
      <c r="O40" s="82"/>
    </row>
    <row r="41" spans="1:15" ht="20.25" x14ac:dyDescent="0.25">
      <c r="A41" s="102"/>
      <c r="B41" s="102"/>
      <c r="C41" s="104"/>
      <c r="D41" s="104"/>
      <c r="E41" s="82"/>
      <c r="F41" s="82"/>
      <c r="G41" s="82"/>
      <c r="H41" s="82"/>
      <c r="I41" s="82"/>
      <c r="J41" s="82"/>
      <c r="K41" s="82"/>
      <c r="L41" s="82"/>
      <c r="M41" s="82"/>
      <c r="N41" s="82"/>
      <c r="O41" s="82"/>
    </row>
    <row r="42" spans="1:15" ht="20.25" x14ac:dyDescent="0.25">
      <c r="A42" s="102"/>
      <c r="B42" s="102"/>
      <c r="C42" s="104"/>
      <c r="D42" s="104"/>
      <c r="E42" s="82"/>
      <c r="F42" s="82"/>
      <c r="G42" s="82"/>
      <c r="H42" s="82"/>
      <c r="I42" s="82"/>
      <c r="J42" s="82"/>
      <c r="K42" s="82"/>
      <c r="L42" s="82"/>
      <c r="M42" s="82"/>
      <c r="N42" s="82"/>
      <c r="O42" s="82"/>
    </row>
    <row r="43" spans="1:15" ht="20.25" x14ac:dyDescent="0.25">
      <c r="A43" s="102"/>
      <c r="B43" s="102"/>
      <c r="C43" s="104"/>
      <c r="D43" s="104"/>
      <c r="E43" s="82"/>
      <c r="F43" s="82"/>
      <c r="G43" s="82"/>
      <c r="H43" s="82"/>
      <c r="I43" s="82"/>
      <c r="J43" s="82"/>
      <c r="K43" s="82"/>
      <c r="L43" s="82"/>
      <c r="M43" s="82"/>
      <c r="N43" s="82"/>
      <c r="O43" s="82"/>
    </row>
    <row r="44" spans="1:15" ht="20.25" x14ac:dyDescent="0.25">
      <c r="A44" s="102"/>
      <c r="B44" s="102"/>
      <c r="C44" s="104"/>
      <c r="D44" s="104"/>
      <c r="E44" s="82"/>
      <c r="F44" s="82"/>
      <c r="G44" s="82"/>
      <c r="H44" s="82"/>
      <c r="I44" s="82"/>
      <c r="J44" s="82"/>
      <c r="K44" s="82"/>
      <c r="L44" s="82"/>
      <c r="M44" s="82"/>
      <c r="N44" s="82"/>
      <c r="O44" s="82"/>
    </row>
    <row r="45" spans="1:15" ht="20.25" x14ac:dyDescent="0.25">
      <c r="A45" s="102"/>
      <c r="B45" s="102"/>
      <c r="C45" s="104"/>
      <c r="D45" s="104"/>
      <c r="E45" s="82"/>
      <c r="F45" s="82"/>
      <c r="G45" s="82"/>
      <c r="H45" s="82"/>
      <c r="I45" s="82"/>
      <c r="J45" s="82"/>
      <c r="K45" s="82"/>
      <c r="L45" s="82"/>
      <c r="M45" s="82"/>
      <c r="N45" s="82"/>
      <c r="O45" s="82"/>
    </row>
    <row r="46" spans="1:15" ht="20.25" x14ac:dyDescent="0.25">
      <c r="A46" s="102"/>
      <c r="B46" s="102"/>
      <c r="C46" s="104"/>
      <c r="D46" s="104"/>
      <c r="E46" s="82"/>
      <c r="F46" s="82"/>
      <c r="G46" s="82"/>
      <c r="H46" s="82"/>
      <c r="I46" s="82"/>
      <c r="J46" s="82"/>
      <c r="K46" s="82"/>
      <c r="L46" s="82"/>
      <c r="M46" s="82"/>
      <c r="N46" s="82"/>
      <c r="O46" s="82"/>
    </row>
    <row r="47" spans="1:15" ht="20.25" x14ac:dyDescent="0.25">
      <c r="A47" s="102"/>
      <c r="B47" s="102"/>
      <c r="C47" s="104"/>
      <c r="D47" s="104"/>
      <c r="E47" s="82"/>
      <c r="F47" s="82"/>
      <c r="G47" s="82"/>
      <c r="H47" s="82"/>
      <c r="I47" s="82"/>
      <c r="J47" s="82"/>
      <c r="K47" s="82"/>
      <c r="L47" s="82"/>
      <c r="M47" s="82"/>
      <c r="N47" s="82"/>
      <c r="O47" s="82"/>
    </row>
    <row r="48" spans="1:15" ht="20.25" x14ac:dyDescent="0.25">
      <c r="A48" s="102"/>
      <c r="B48" s="102"/>
      <c r="C48" s="104"/>
      <c r="D48" s="104"/>
      <c r="E48" s="82"/>
      <c r="F48" s="82"/>
      <c r="G48" s="82"/>
      <c r="H48" s="82"/>
      <c r="I48" s="82"/>
      <c r="J48" s="82"/>
      <c r="K48" s="82"/>
      <c r="L48" s="82"/>
      <c r="M48" s="82"/>
      <c r="N48" s="82"/>
      <c r="O48" s="82"/>
    </row>
    <row r="49" spans="1:15" ht="20.25" x14ac:dyDescent="0.25">
      <c r="A49" s="102"/>
      <c r="B49" s="102"/>
      <c r="C49" s="104"/>
      <c r="D49" s="104"/>
      <c r="E49" s="82"/>
      <c r="F49" s="82"/>
      <c r="G49" s="82"/>
      <c r="H49" s="82"/>
      <c r="I49" s="82"/>
      <c r="J49" s="82"/>
      <c r="K49" s="82"/>
      <c r="L49" s="82"/>
      <c r="M49" s="82"/>
      <c r="N49" s="82"/>
      <c r="O49" s="82"/>
    </row>
    <row r="50" spans="1:15" ht="20.25" x14ac:dyDescent="0.25">
      <c r="A50" s="102"/>
      <c r="B50" s="102"/>
      <c r="C50" s="104"/>
      <c r="D50" s="104"/>
      <c r="E50" s="82"/>
      <c r="F50" s="82"/>
      <c r="G50" s="82"/>
      <c r="H50" s="82"/>
      <c r="I50" s="82"/>
      <c r="J50" s="82"/>
      <c r="K50" s="82"/>
      <c r="L50" s="82"/>
      <c r="M50" s="82"/>
      <c r="N50" s="82"/>
      <c r="O50" s="82"/>
    </row>
    <row r="51" spans="1:15" ht="20.25" x14ac:dyDescent="0.25">
      <c r="A51" s="102"/>
      <c r="B51" s="102"/>
      <c r="C51" s="104"/>
      <c r="D51" s="104"/>
      <c r="E51" s="82"/>
      <c r="F51" s="82"/>
      <c r="G51" s="82"/>
      <c r="H51" s="82"/>
      <c r="I51" s="82"/>
      <c r="J51" s="82"/>
      <c r="K51" s="82"/>
      <c r="L51" s="82"/>
      <c r="M51" s="82"/>
      <c r="N51" s="82"/>
      <c r="O51" s="82"/>
    </row>
    <row r="52" spans="1:15" ht="20.25" x14ac:dyDescent="0.25">
      <c r="A52" s="102"/>
      <c r="B52" s="22"/>
      <c r="C52" s="33"/>
      <c r="D52" s="33"/>
    </row>
    <row r="53" spans="1:15" ht="20.25" x14ac:dyDescent="0.25">
      <c r="A53" s="102"/>
      <c r="B53" s="22"/>
      <c r="C53" s="33"/>
      <c r="D53" s="33"/>
    </row>
    <row r="54" spans="1:15" ht="20.25" x14ac:dyDescent="0.25">
      <c r="A54" s="102"/>
      <c r="B54" s="22"/>
      <c r="C54" s="33"/>
      <c r="D54" s="33"/>
    </row>
    <row r="55" spans="1:15" ht="20.25" x14ac:dyDescent="0.25">
      <c r="A55" s="102"/>
      <c r="B55" s="22"/>
      <c r="C55" s="33"/>
      <c r="D55" s="33"/>
    </row>
    <row r="56" spans="1:15" ht="20.25" x14ac:dyDescent="0.25">
      <c r="A56" s="102"/>
      <c r="B56" s="22"/>
      <c r="C56" s="33"/>
      <c r="D56" s="33"/>
    </row>
    <row r="57" spans="1:15" ht="20.25" x14ac:dyDescent="0.25">
      <c r="A57" s="102"/>
      <c r="B57" s="22"/>
      <c r="C57" s="33"/>
      <c r="D57" s="33"/>
    </row>
    <row r="58" spans="1:15" ht="20.25" x14ac:dyDescent="0.25">
      <c r="A58" s="102"/>
      <c r="B58" s="22"/>
      <c r="C58" s="33"/>
      <c r="D58" s="33"/>
    </row>
    <row r="59" spans="1:15" ht="20.25" x14ac:dyDescent="0.25">
      <c r="A59" s="102"/>
      <c r="B59" s="22"/>
      <c r="C59" s="33"/>
      <c r="D59" s="33"/>
    </row>
    <row r="60" spans="1:15" ht="20.25" x14ac:dyDescent="0.25">
      <c r="A60" s="102"/>
      <c r="B60" s="22"/>
      <c r="C60" s="33"/>
      <c r="D60" s="33"/>
    </row>
    <row r="61" spans="1:15" ht="20.25" x14ac:dyDescent="0.25">
      <c r="A61" s="102"/>
      <c r="B61" s="22"/>
      <c r="C61" s="33"/>
      <c r="D61" s="33"/>
    </row>
    <row r="62" spans="1:15" ht="20.25" x14ac:dyDescent="0.25">
      <c r="A62" s="102"/>
      <c r="B62" s="22"/>
      <c r="C62" s="33"/>
      <c r="D62" s="33"/>
    </row>
    <row r="63" spans="1:15" ht="20.25" x14ac:dyDescent="0.25">
      <c r="A63" s="102"/>
      <c r="B63" s="22"/>
      <c r="C63" s="33"/>
      <c r="D63" s="33"/>
    </row>
    <row r="64" spans="1:15" ht="20.25" x14ac:dyDescent="0.25">
      <c r="A64" s="102"/>
      <c r="B64" s="22"/>
      <c r="C64" s="33"/>
      <c r="D64" s="33"/>
    </row>
    <row r="65" spans="1:4" ht="20.25" x14ac:dyDescent="0.25">
      <c r="A65" s="102"/>
      <c r="B65" s="22"/>
      <c r="C65" s="33"/>
      <c r="D65" s="33"/>
    </row>
    <row r="66" spans="1:4" ht="20.25" x14ac:dyDescent="0.25">
      <c r="A66" s="102"/>
      <c r="B66" s="22"/>
      <c r="C66" s="33"/>
      <c r="D66" s="33"/>
    </row>
    <row r="67" spans="1:4" ht="20.25" x14ac:dyDescent="0.25">
      <c r="A67" s="102"/>
      <c r="B67" s="22"/>
      <c r="C67" s="33"/>
      <c r="D67" s="33"/>
    </row>
    <row r="68" spans="1:4" ht="20.25" x14ac:dyDescent="0.25">
      <c r="A68" s="102"/>
      <c r="B68" s="22"/>
      <c r="C68" s="33"/>
      <c r="D68" s="33"/>
    </row>
    <row r="69" spans="1:4" ht="20.25" x14ac:dyDescent="0.25">
      <c r="A69" s="102"/>
      <c r="B69" s="22"/>
      <c r="C69" s="33"/>
      <c r="D69" s="33"/>
    </row>
    <row r="70" spans="1:4" ht="20.25" x14ac:dyDescent="0.25">
      <c r="A70" s="102"/>
      <c r="B70" s="22"/>
      <c r="C70" s="33"/>
      <c r="D70" s="33"/>
    </row>
    <row r="71" spans="1:4" ht="20.25" x14ac:dyDescent="0.25">
      <c r="A71" s="102"/>
      <c r="B71" s="22"/>
      <c r="C71" s="33"/>
      <c r="D71" s="33"/>
    </row>
    <row r="72" spans="1:4" ht="20.25" x14ac:dyDescent="0.25">
      <c r="A72" s="102"/>
      <c r="B72" s="22"/>
      <c r="C72" s="33"/>
      <c r="D72" s="33"/>
    </row>
    <row r="73" spans="1:4" ht="20.25" x14ac:dyDescent="0.25">
      <c r="A73" s="102"/>
      <c r="B73" s="22"/>
      <c r="C73" s="33"/>
      <c r="D73" s="33"/>
    </row>
    <row r="74" spans="1:4" ht="20.25" x14ac:dyDescent="0.25">
      <c r="A74" s="102"/>
      <c r="B74" s="22"/>
      <c r="C74" s="33"/>
      <c r="D74" s="33"/>
    </row>
    <row r="75" spans="1:4" ht="20.25" x14ac:dyDescent="0.25">
      <c r="A75" s="102"/>
      <c r="B75" s="22"/>
      <c r="C75" s="33"/>
      <c r="D75" s="33"/>
    </row>
    <row r="76" spans="1:4" ht="20.25" x14ac:dyDescent="0.25">
      <c r="A76" s="102"/>
      <c r="B76" s="22"/>
      <c r="C76" s="33"/>
      <c r="D76" s="33"/>
    </row>
    <row r="77" spans="1:4" ht="20.25" x14ac:dyDescent="0.25">
      <c r="A77" s="102"/>
      <c r="B77" s="22"/>
      <c r="C77" s="33"/>
      <c r="D77" s="33"/>
    </row>
    <row r="78" spans="1:4" ht="20.25" x14ac:dyDescent="0.25">
      <c r="A78" s="102"/>
      <c r="B78" s="22"/>
      <c r="C78" s="33"/>
      <c r="D78" s="33"/>
    </row>
    <row r="79" spans="1:4" ht="20.25" x14ac:dyDescent="0.25">
      <c r="A79" s="102"/>
      <c r="B79" s="22"/>
      <c r="C79" s="33"/>
      <c r="D79" s="33"/>
    </row>
    <row r="80" spans="1:4" ht="20.25" x14ac:dyDescent="0.25">
      <c r="A80" s="102"/>
      <c r="B80" s="22"/>
      <c r="C80" s="33"/>
      <c r="D80" s="33"/>
    </row>
    <row r="81" spans="1:4" ht="20.25" x14ac:dyDescent="0.25">
      <c r="A81" s="102"/>
      <c r="B81" s="22"/>
      <c r="C81" s="33"/>
      <c r="D81" s="33"/>
    </row>
    <row r="82" spans="1:4" ht="20.25" x14ac:dyDescent="0.25">
      <c r="A82" s="102"/>
      <c r="B82" s="22"/>
      <c r="C82" s="33"/>
      <c r="D82" s="33"/>
    </row>
    <row r="83" spans="1:4" ht="20.25" x14ac:dyDescent="0.25">
      <c r="A83" s="102"/>
      <c r="B83" s="22"/>
      <c r="C83" s="33"/>
      <c r="D83" s="33"/>
    </row>
    <row r="84" spans="1:4" ht="20.25" x14ac:dyDescent="0.25">
      <c r="A84" s="102"/>
      <c r="B84" s="22"/>
      <c r="C84" s="33"/>
      <c r="D84" s="33"/>
    </row>
    <row r="85" spans="1:4" ht="20.25" x14ac:dyDescent="0.25">
      <c r="A85" s="102"/>
      <c r="B85" s="22"/>
      <c r="C85" s="33"/>
      <c r="D85" s="33"/>
    </row>
    <row r="86" spans="1:4" ht="20.25" x14ac:dyDescent="0.25">
      <c r="A86" s="102"/>
      <c r="B86" s="22"/>
      <c r="C86" s="33"/>
      <c r="D86" s="33"/>
    </row>
    <row r="87" spans="1:4" ht="20.25" x14ac:dyDescent="0.25">
      <c r="A87" s="102"/>
      <c r="B87" s="22"/>
      <c r="C87" s="33"/>
      <c r="D87" s="33"/>
    </row>
    <row r="88" spans="1:4" ht="20.25" x14ac:dyDescent="0.25">
      <c r="A88" s="102"/>
      <c r="B88" s="22"/>
      <c r="C88" s="33"/>
      <c r="D88" s="33"/>
    </row>
    <row r="89" spans="1:4" ht="20.25" x14ac:dyDescent="0.25">
      <c r="A89" s="102"/>
      <c r="B89" s="22"/>
      <c r="C89" s="33"/>
      <c r="D89" s="33"/>
    </row>
    <row r="90" spans="1:4" ht="20.25" x14ac:dyDescent="0.25">
      <c r="A90" s="102"/>
      <c r="B90" s="22"/>
      <c r="C90" s="33"/>
      <c r="D90" s="33"/>
    </row>
    <row r="91" spans="1:4" ht="20.25" x14ac:dyDescent="0.25">
      <c r="A91" s="102"/>
      <c r="B91" s="22"/>
      <c r="C91" s="33"/>
      <c r="D91" s="33"/>
    </row>
    <row r="92" spans="1:4" ht="20.25" x14ac:dyDescent="0.25">
      <c r="A92" s="102"/>
      <c r="B92" s="22"/>
      <c r="C92" s="33"/>
      <c r="D92" s="33"/>
    </row>
    <row r="93" spans="1:4" ht="20.25" x14ac:dyDescent="0.25">
      <c r="A93" s="102"/>
      <c r="B93" s="22"/>
      <c r="C93" s="33"/>
      <c r="D93" s="33"/>
    </row>
    <row r="94" spans="1:4" ht="20.25" x14ac:dyDescent="0.25">
      <c r="A94" s="102"/>
      <c r="B94" s="22"/>
      <c r="C94" s="33"/>
      <c r="D94" s="33"/>
    </row>
    <row r="95" spans="1:4" ht="20.25" x14ac:dyDescent="0.25">
      <c r="A95" s="102"/>
      <c r="B95" s="22"/>
      <c r="C95" s="33"/>
      <c r="D95" s="33"/>
    </row>
    <row r="96" spans="1:4" ht="20.25" x14ac:dyDescent="0.25">
      <c r="A96" s="102"/>
      <c r="B96" s="22"/>
      <c r="C96" s="33"/>
      <c r="D96" s="33"/>
    </row>
    <row r="97" spans="1:4" ht="20.25" x14ac:dyDescent="0.25">
      <c r="A97" s="102"/>
      <c r="B97" s="22"/>
      <c r="C97" s="33"/>
      <c r="D97" s="33"/>
    </row>
    <row r="98" spans="1:4" ht="20.25" x14ac:dyDescent="0.25">
      <c r="A98" s="102"/>
      <c r="B98" s="22"/>
      <c r="C98" s="33"/>
      <c r="D98" s="33"/>
    </row>
    <row r="99" spans="1:4" ht="20.25" x14ac:dyDescent="0.25">
      <c r="A99" s="102"/>
      <c r="B99" s="22"/>
      <c r="C99" s="33"/>
      <c r="D99" s="33"/>
    </row>
    <row r="100" spans="1:4" ht="20.25" x14ac:dyDescent="0.25">
      <c r="A100" s="102"/>
      <c r="B100" s="22"/>
      <c r="C100" s="33"/>
      <c r="D100" s="33"/>
    </row>
    <row r="101" spans="1:4" ht="20.25" x14ac:dyDescent="0.25">
      <c r="A101" s="102"/>
      <c r="B101" s="22"/>
      <c r="C101" s="33"/>
      <c r="D101" s="33"/>
    </row>
    <row r="102" spans="1:4" ht="20.25" x14ac:dyDescent="0.25">
      <c r="A102" s="102"/>
      <c r="B102" s="22"/>
      <c r="C102" s="33"/>
      <c r="D102" s="33"/>
    </row>
    <row r="103" spans="1:4" ht="20.25" x14ac:dyDescent="0.25">
      <c r="A103" s="102"/>
      <c r="B103" s="22"/>
      <c r="C103" s="33"/>
      <c r="D103" s="33"/>
    </row>
    <row r="104" spans="1:4" ht="20.25" x14ac:dyDescent="0.25">
      <c r="A104" s="102"/>
      <c r="B104" s="22"/>
      <c r="C104" s="33"/>
      <c r="D104" s="33"/>
    </row>
    <row r="105" spans="1:4" ht="20.25" x14ac:dyDescent="0.25">
      <c r="A105" s="102"/>
      <c r="B105" s="22"/>
      <c r="C105" s="33"/>
      <c r="D105" s="33"/>
    </row>
    <row r="106" spans="1:4" ht="20.25" x14ac:dyDescent="0.25">
      <c r="A106" s="102"/>
      <c r="B106" s="22"/>
      <c r="C106" s="33"/>
      <c r="D106" s="33"/>
    </row>
    <row r="107" spans="1:4" ht="20.25" x14ac:dyDescent="0.25">
      <c r="A107" s="102"/>
      <c r="B107" s="22"/>
      <c r="C107" s="33"/>
      <c r="D107" s="33"/>
    </row>
    <row r="108" spans="1:4" ht="20.25" x14ac:dyDescent="0.25">
      <c r="A108" s="102"/>
      <c r="B108" s="22"/>
      <c r="C108" s="33"/>
      <c r="D108" s="33"/>
    </row>
    <row r="109" spans="1:4" ht="20.25" x14ac:dyDescent="0.25">
      <c r="A109" s="102"/>
      <c r="B109" s="22"/>
      <c r="C109" s="33"/>
      <c r="D109" s="33"/>
    </row>
    <row r="110" spans="1:4" ht="20.25" x14ac:dyDescent="0.25">
      <c r="A110" s="102"/>
      <c r="B110" s="22"/>
      <c r="C110" s="33"/>
      <c r="D110" s="33"/>
    </row>
    <row r="111" spans="1:4" ht="20.25" x14ac:dyDescent="0.25">
      <c r="A111" s="102"/>
      <c r="B111" s="22"/>
      <c r="C111" s="33"/>
      <c r="D111" s="33"/>
    </row>
    <row r="112" spans="1:4" ht="20.25" x14ac:dyDescent="0.25">
      <c r="A112" s="102"/>
      <c r="B112" s="22"/>
      <c r="C112" s="33"/>
      <c r="D112" s="33"/>
    </row>
    <row r="113" spans="1:4" ht="20.25" x14ac:dyDescent="0.25">
      <c r="A113" s="102"/>
      <c r="B113" s="22"/>
      <c r="C113" s="33"/>
      <c r="D113" s="33"/>
    </row>
    <row r="114" spans="1:4" ht="20.25" x14ac:dyDescent="0.25">
      <c r="A114" s="102"/>
      <c r="B114" s="22"/>
      <c r="C114" s="33"/>
      <c r="D114" s="33"/>
    </row>
    <row r="115" spans="1:4" ht="20.25" x14ac:dyDescent="0.25">
      <c r="A115" s="102"/>
      <c r="B115" s="22"/>
      <c r="C115" s="33"/>
      <c r="D115" s="33"/>
    </row>
    <row r="116" spans="1:4" ht="20.25" x14ac:dyDescent="0.25">
      <c r="A116" s="102"/>
      <c r="B116" s="22"/>
      <c r="C116" s="33"/>
      <c r="D116" s="33"/>
    </row>
    <row r="117" spans="1:4" ht="20.25" x14ac:dyDescent="0.25">
      <c r="A117" s="102"/>
      <c r="B117" s="22"/>
      <c r="C117" s="33"/>
      <c r="D117" s="33"/>
    </row>
    <row r="118" spans="1:4" ht="20.25" x14ac:dyDescent="0.25">
      <c r="A118" s="102"/>
      <c r="B118" s="22"/>
      <c r="C118" s="33"/>
      <c r="D118" s="33"/>
    </row>
    <row r="119" spans="1:4" ht="20.25" x14ac:dyDescent="0.25">
      <c r="A119" s="102"/>
      <c r="B119" s="22"/>
      <c r="C119" s="33"/>
      <c r="D119" s="33"/>
    </row>
    <row r="120" spans="1:4" ht="20.25" x14ac:dyDescent="0.25">
      <c r="A120" s="102"/>
      <c r="B120" s="22"/>
      <c r="C120" s="33"/>
      <c r="D120" s="33"/>
    </row>
    <row r="121" spans="1:4" ht="20.25" x14ac:dyDescent="0.25">
      <c r="A121" s="102"/>
      <c r="B121" s="22"/>
      <c r="C121" s="33"/>
      <c r="D121" s="33"/>
    </row>
    <row r="122" spans="1:4" ht="20.25" x14ac:dyDescent="0.25">
      <c r="A122" s="102"/>
      <c r="B122" s="22"/>
      <c r="C122" s="33"/>
      <c r="D122" s="33"/>
    </row>
    <row r="123" spans="1:4" ht="20.25" x14ac:dyDescent="0.25">
      <c r="A123" s="102"/>
      <c r="B123" s="22"/>
      <c r="C123" s="33"/>
      <c r="D123" s="33"/>
    </row>
    <row r="124" spans="1:4" ht="20.25" x14ac:dyDescent="0.25">
      <c r="A124" s="102"/>
      <c r="B124" s="22"/>
      <c r="C124" s="33"/>
      <c r="D124" s="33"/>
    </row>
    <row r="125" spans="1:4" ht="20.25" x14ac:dyDescent="0.25">
      <c r="A125" s="102"/>
      <c r="B125" s="22"/>
      <c r="C125" s="33"/>
      <c r="D125" s="33"/>
    </row>
    <row r="126" spans="1:4" ht="20.25" x14ac:dyDescent="0.25">
      <c r="A126" s="102"/>
      <c r="B126" s="22"/>
      <c r="C126" s="33"/>
      <c r="D126" s="33"/>
    </row>
    <row r="127" spans="1:4" ht="20.25" x14ac:dyDescent="0.25">
      <c r="A127" s="102"/>
      <c r="B127" s="22"/>
      <c r="C127" s="33"/>
      <c r="D127" s="33"/>
    </row>
    <row r="128" spans="1:4" ht="20.25" x14ac:dyDescent="0.25">
      <c r="A128" s="102"/>
      <c r="B128" s="22"/>
      <c r="C128" s="33"/>
      <c r="D128" s="33"/>
    </row>
    <row r="129" spans="1:4" ht="20.25" x14ac:dyDescent="0.25">
      <c r="A129" s="102"/>
      <c r="B129" s="22"/>
      <c r="C129" s="33"/>
      <c r="D129" s="33"/>
    </row>
    <row r="130" spans="1:4" ht="20.25" x14ac:dyDescent="0.25">
      <c r="A130" s="102"/>
      <c r="B130" s="22"/>
      <c r="C130" s="33"/>
      <c r="D130" s="33"/>
    </row>
    <row r="131" spans="1:4" ht="20.25" x14ac:dyDescent="0.25">
      <c r="A131" s="102"/>
      <c r="B131" s="22"/>
      <c r="C131" s="33"/>
      <c r="D131" s="33"/>
    </row>
    <row r="132" spans="1:4" ht="20.25" x14ac:dyDescent="0.25">
      <c r="A132" s="102"/>
      <c r="B132" s="22"/>
      <c r="C132" s="33"/>
      <c r="D132" s="33"/>
    </row>
    <row r="133" spans="1:4" ht="20.25" x14ac:dyDescent="0.25">
      <c r="A133" s="102"/>
      <c r="B133" s="22"/>
      <c r="C133" s="33"/>
      <c r="D133" s="33"/>
    </row>
    <row r="134" spans="1:4" ht="20.25" x14ac:dyDescent="0.25">
      <c r="A134" s="102"/>
      <c r="B134" s="22"/>
      <c r="C134" s="33"/>
      <c r="D134" s="33"/>
    </row>
    <row r="135" spans="1:4" ht="20.25" x14ac:dyDescent="0.25">
      <c r="A135" s="102"/>
      <c r="B135" s="22"/>
      <c r="C135" s="33"/>
      <c r="D135" s="33"/>
    </row>
    <row r="136" spans="1:4" ht="20.25" x14ac:dyDescent="0.25">
      <c r="A136" s="102"/>
      <c r="B136" s="22"/>
      <c r="C136" s="33"/>
      <c r="D136" s="33"/>
    </row>
    <row r="137" spans="1:4" ht="20.25" x14ac:dyDescent="0.25">
      <c r="A137" s="102"/>
      <c r="B137" s="22"/>
      <c r="C137" s="33"/>
      <c r="D137" s="33"/>
    </row>
    <row r="138" spans="1:4" ht="20.25" x14ac:dyDescent="0.25">
      <c r="A138" s="102"/>
      <c r="B138" s="22"/>
      <c r="C138" s="33"/>
      <c r="D138" s="33"/>
    </row>
    <row r="139" spans="1:4" ht="20.25" x14ac:dyDescent="0.25">
      <c r="A139" s="102"/>
      <c r="B139" s="22"/>
      <c r="C139" s="33"/>
      <c r="D139" s="33"/>
    </row>
    <row r="140" spans="1:4" ht="20.25" x14ac:dyDescent="0.25">
      <c r="A140" s="102"/>
      <c r="B140" s="22"/>
      <c r="C140" s="33"/>
      <c r="D140" s="33"/>
    </row>
    <row r="141" spans="1:4" ht="20.25" x14ac:dyDescent="0.25">
      <c r="A141" s="102"/>
      <c r="B141" s="22"/>
      <c r="C141" s="33"/>
      <c r="D141" s="33"/>
    </row>
    <row r="142" spans="1:4" ht="20.25" x14ac:dyDescent="0.25">
      <c r="A142" s="102"/>
      <c r="B142" s="22"/>
      <c r="C142" s="33"/>
      <c r="D142" s="33"/>
    </row>
    <row r="143" spans="1:4" ht="20.25" x14ac:dyDescent="0.25">
      <c r="A143" s="102"/>
      <c r="B143" s="22"/>
      <c r="C143" s="33"/>
      <c r="D143" s="33"/>
    </row>
    <row r="144" spans="1:4" ht="20.25" x14ac:dyDescent="0.25">
      <c r="A144" s="102"/>
      <c r="B144" s="22"/>
      <c r="C144" s="33"/>
      <c r="D144" s="33"/>
    </row>
    <row r="145" spans="1:4" ht="20.25" x14ac:dyDescent="0.25">
      <c r="A145" s="102"/>
      <c r="B145" s="22"/>
      <c r="C145" s="33"/>
      <c r="D145" s="33"/>
    </row>
    <row r="146" spans="1:4" ht="20.25" x14ac:dyDescent="0.25">
      <c r="A146" s="102"/>
      <c r="B146" s="22"/>
      <c r="C146" s="33"/>
      <c r="D146" s="33"/>
    </row>
    <row r="147" spans="1:4" ht="20.25" x14ac:dyDescent="0.25">
      <c r="A147" s="102"/>
      <c r="B147" s="22"/>
      <c r="C147" s="33"/>
      <c r="D147" s="33"/>
    </row>
    <row r="148" spans="1:4" ht="20.25" x14ac:dyDescent="0.25">
      <c r="A148" s="102"/>
      <c r="B148" s="22"/>
      <c r="C148" s="33"/>
      <c r="D148" s="33"/>
    </row>
    <row r="149" spans="1:4" ht="20.25" x14ac:dyDescent="0.25">
      <c r="A149" s="102"/>
      <c r="B149" s="22"/>
      <c r="C149" s="33"/>
      <c r="D149" s="33"/>
    </row>
    <row r="150" spans="1:4" ht="20.25" x14ac:dyDescent="0.25">
      <c r="A150" s="102"/>
      <c r="B150" s="22"/>
      <c r="C150" s="33"/>
      <c r="D150" s="33"/>
    </row>
    <row r="151" spans="1:4" ht="20.25" x14ac:dyDescent="0.25">
      <c r="A151" s="102"/>
      <c r="B151" s="22"/>
      <c r="C151" s="33"/>
      <c r="D151" s="33"/>
    </row>
    <row r="152" spans="1:4" ht="20.25" x14ac:dyDescent="0.25">
      <c r="A152" s="102"/>
      <c r="B152" s="22"/>
      <c r="C152" s="33"/>
      <c r="D152" s="33"/>
    </row>
    <row r="153" spans="1:4" ht="20.25" x14ac:dyDescent="0.25">
      <c r="A153" s="102"/>
      <c r="B153" s="22"/>
      <c r="C153" s="33"/>
      <c r="D153" s="33"/>
    </row>
    <row r="154" spans="1:4" ht="20.25" x14ac:dyDescent="0.25">
      <c r="A154" s="102"/>
      <c r="B154" s="22"/>
      <c r="C154" s="33"/>
      <c r="D154" s="33"/>
    </row>
    <row r="155" spans="1:4" ht="20.25" x14ac:dyDescent="0.25">
      <c r="A155" s="102"/>
      <c r="B155" s="22"/>
      <c r="C155" s="33"/>
      <c r="D155" s="33"/>
    </row>
    <row r="156" spans="1:4" ht="20.25" x14ac:dyDescent="0.25">
      <c r="A156" s="102"/>
      <c r="B156" s="22"/>
      <c r="C156" s="33"/>
      <c r="D156" s="33"/>
    </row>
    <row r="157" spans="1:4" ht="20.25" x14ac:dyDescent="0.25">
      <c r="A157" s="102"/>
      <c r="B157" s="22"/>
      <c r="C157" s="33"/>
      <c r="D157" s="33"/>
    </row>
    <row r="158" spans="1:4" ht="20.25" x14ac:dyDescent="0.25">
      <c r="A158" s="102"/>
      <c r="B158" s="22"/>
      <c r="C158" s="33"/>
      <c r="D158" s="33"/>
    </row>
    <row r="159" spans="1:4" ht="20.25" x14ac:dyDescent="0.25">
      <c r="A159" s="102"/>
      <c r="B159" s="22"/>
      <c r="C159" s="33"/>
      <c r="D159" s="33"/>
    </row>
    <row r="160" spans="1:4" ht="20.25" x14ac:dyDescent="0.25">
      <c r="A160" s="102"/>
      <c r="B160" s="22"/>
      <c r="C160" s="33"/>
      <c r="D160" s="33"/>
    </row>
    <row r="161" spans="1:4" ht="20.25" x14ac:dyDescent="0.25">
      <c r="A161" s="102"/>
      <c r="B161" s="22"/>
      <c r="C161" s="33"/>
      <c r="D161" s="33"/>
    </row>
    <row r="162" spans="1:4" ht="20.25" x14ac:dyDescent="0.25">
      <c r="A162" s="102"/>
      <c r="B162" s="22"/>
      <c r="C162" s="33"/>
      <c r="D162" s="33"/>
    </row>
    <row r="163" spans="1:4" ht="20.25" x14ac:dyDescent="0.25">
      <c r="A163" s="102"/>
      <c r="B163" s="22"/>
      <c r="C163" s="33"/>
      <c r="D163" s="33"/>
    </row>
    <row r="164" spans="1:4" ht="20.25" x14ac:dyDescent="0.25">
      <c r="A164" s="102"/>
      <c r="B164" s="22"/>
      <c r="C164" s="33"/>
      <c r="D164" s="33"/>
    </row>
    <row r="165" spans="1:4" ht="20.25" x14ac:dyDescent="0.25">
      <c r="A165" s="102"/>
      <c r="B165" s="22"/>
      <c r="C165" s="33"/>
      <c r="D165" s="33"/>
    </row>
    <row r="166" spans="1:4" ht="20.25" x14ac:dyDescent="0.25">
      <c r="A166" s="102"/>
      <c r="B166" s="22"/>
      <c r="C166" s="33"/>
      <c r="D166" s="33"/>
    </row>
    <row r="167" spans="1:4" ht="20.25" x14ac:dyDescent="0.25">
      <c r="A167" s="102"/>
      <c r="B167" s="22"/>
      <c r="C167" s="33"/>
      <c r="D167" s="33"/>
    </row>
    <row r="168" spans="1:4" ht="20.25" x14ac:dyDescent="0.25">
      <c r="A168" s="102"/>
      <c r="B168" s="22"/>
      <c r="C168" s="33"/>
      <c r="D168" s="33"/>
    </row>
    <row r="169" spans="1:4" ht="20.25" x14ac:dyDescent="0.25">
      <c r="A169" s="102"/>
      <c r="B169" s="22"/>
      <c r="C169" s="33"/>
      <c r="D169" s="33"/>
    </row>
    <row r="170" spans="1:4" ht="20.25" x14ac:dyDescent="0.25">
      <c r="A170" s="102"/>
      <c r="B170" s="22"/>
      <c r="C170" s="33"/>
      <c r="D170" s="33"/>
    </row>
    <row r="171" spans="1:4" ht="20.25" x14ac:dyDescent="0.25">
      <c r="A171" s="102"/>
      <c r="B171" s="22"/>
      <c r="C171" s="33"/>
      <c r="D171" s="33"/>
    </row>
    <row r="172" spans="1:4" ht="20.25" x14ac:dyDescent="0.25">
      <c r="A172" s="102"/>
      <c r="B172" s="22"/>
      <c r="C172" s="33"/>
      <c r="D172" s="33"/>
    </row>
    <row r="173" spans="1:4" ht="20.25" x14ac:dyDescent="0.25">
      <c r="A173" s="102"/>
      <c r="B173" s="22"/>
      <c r="C173" s="33"/>
      <c r="D173" s="33"/>
    </row>
    <row r="174" spans="1:4" ht="20.25" x14ac:dyDescent="0.25">
      <c r="A174" s="102"/>
      <c r="B174" s="22"/>
      <c r="C174" s="33"/>
      <c r="D174" s="33"/>
    </row>
    <row r="175" spans="1:4" ht="20.25" x14ac:dyDescent="0.25">
      <c r="A175" s="102"/>
      <c r="B175" s="22"/>
      <c r="C175" s="33"/>
      <c r="D175" s="33"/>
    </row>
    <row r="176" spans="1:4" ht="20.25" x14ac:dyDescent="0.25">
      <c r="A176" s="102"/>
      <c r="B176" s="22"/>
      <c r="C176" s="33"/>
      <c r="D176" s="33"/>
    </row>
    <row r="177" spans="1:4" ht="20.25" x14ac:dyDescent="0.25">
      <c r="A177" s="102"/>
      <c r="B177" s="22"/>
      <c r="C177" s="33"/>
      <c r="D177" s="33"/>
    </row>
    <row r="178" spans="1:4" ht="20.25" x14ac:dyDescent="0.25">
      <c r="A178" s="102"/>
      <c r="B178" s="22"/>
      <c r="C178" s="33"/>
      <c r="D178" s="33"/>
    </row>
    <row r="179" spans="1:4" ht="20.25" x14ac:dyDescent="0.25">
      <c r="A179" s="102"/>
      <c r="B179" s="22"/>
      <c r="C179" s="33"/>
      <c r="D179" s="33"/>
    </row>
    <row r="180" spans="1:4" ht="20.25" x14ac:dyDescent="0.25">
      <c r="A180" s="102"/>
      <c r="B180" s="22"/>
      <c r="C180" s="33"/>
      <c r="D180" s="33"/>
    </row>
    <row r="181" spans="1:4" ht="20.25" x14ac:dyDescent="0.25">
      <c r="A181" s="102"/>
      <c r="B181" s="22"/>
      <c r="C181" s="33"/>
      <c r="D181" s="33"/>
    </row>
    <row r="182" spans="1:4" ht="20.25" x14ac:dyDescent="0.25">
      <c r="A182" s="102"/>
      <c r="B182" s="22"/>
      <c r="C182" s="33"/>
      <c r="D182" s="33"/>
    </row>
    <row r="183" spans="1:4" ht="20.25" x14ac:dyDescent="0.25">
      <c r="A183" s="102"/>
      <c r="B183" s="22"/>
      <c r="C183" s="33"/>
      <c r="D183" s="33"/>
    </row>
    <row r="184" spans="1:4" ht="20.25" x14ac:dyDescent="0.25">
      <c r="A184" s="102"/>
      <c r="B184" s="22"/>
      <c r="C184" s="33"/>
      <c r="D184" s="33"/>
    </row>
    <row r="185" spans="1:4" ht="20.25" x14ac:dyDescent="0.25">
      <c r="A185" s="102"/>
      <c r="B185" s="22"/>
      <c r="C185" s="33"/>
      <c r="D185" s="33"/>
    </row>
    <row r="186" spans="1:4" ht="20.25" x14ac:dyDescent="0.25">
      <c r="A186" s="102"/>
      <c r="B186" s="22"/>
      <c r="C186" s="33"/>
      <c r="D186" s="33"/>
    </row>
    <row r="187" spans="1:4" ht="20.25" x14ac:dyDescent="0.25">
      <c r="A187" s="102"/>
      <c r="B187" s="22"/>
      <c r="C187" s="33"/>
      <c r="D187" s="33"/>
    </row>
    <row r="188" spans="1:4" ht="20.25" x14ac:dyDescent="0.25">
      <c r="A188" s="102"/>
      <c r="B188" s="22"/>
      <c r="C188" s="33"/>
      <c r="D188" s="33"/>
    </row>
    <row r="189" spans="1:4" ht="20.25" x14ac:dyDescent="0.25">
      <c r="A189" s="102"/>
      <c r="B189" s="22"/>
      <c r="C189" s="33"/>
      <c r="D189" s="33"/>
    </row>
    <row r="190" spans="1:4" ht="20.25" x14ac:dyDescent="0.25">
      <c r="A190" s="102"/>
      <c r="B190" s="22"/>
      <c r="C190" s="33"/>
      <c r="D190" s="33"/>
    </row>
    <row r="191" spans="1:4" ht="20.25" x14ac:dyDescent="0.25">
      <c r="A191" s="102"/>
      <c r="B191" s="22"/>
      <c r="C191" s="33"/>
      <c r="D191" s="33"/>
    </row>
    <row r="192" spans="1:4" ht="20.25" x14ac:dyDescent="0.25">
      <c r="A192" s="102"/>
      <c r="B192" s="22"/>
      <c r="C192" s="33"/>
      <c r="D192" s="33"/>
    </row>
    <row r="193" spans="1:4" ht="20.25" x14ac:dyDescent="0.25">
      <c r="A193" s="102"/>
      <c r="B193" s="22"/>
      <c r="C193" s="33"/>
      <c r="D193" s="33"/>
    </row>
    <row r="194" spans="1:4" ht="20.25" x14ac:dyDescent="0.25">
      <c r="A194" s="102"/>
      <c r="B194" s="22"/>
      <c r="C194" s="33"/>
      <c r="D194" s="33"/>
    </row>
    <row r="195" spans="1:4" ht="20.25" x14ac:dyDescent="0.25">
      <c r="A195" s="102"/>
      <c r="B195" s="22"/>
      <c r="C195" s="33"/>
      <c r="D195" s="33"/>
    </row>
    <row r="196" spans="1:4" ht="20.25" x14ac:dyDescent="0.25">
      <c r="A196" s="102"/>
      <c r="B196" s="22"/>
      <c r="C196" s="33"/>
      <c r="D196" s="33"/>
    </row>
    <row r="197" spans="1:4" ht="20.25" x14ac:dyDescent="0.25">
      <c r="A197" s="102"/>
      <c r="B197" s="22"/>
      <c r="C197" s="33"/>
      <c r="D197" s="33"/>
    </row>
    <row r="198" spans="1:4" ht="20.25" x14ac:dyDescent="0.25">
      <c r="A198" s="102"/>
      <c r="B198" s="22"/>
      <c r="C198" s="33"/>
      <c r="D198" s="33"/>
    </row>
    <row r="199" spans="1:4" ht="20.25" x14ac:dyDescent="0.25">
      <c r="A199" s="102"/>
      <c r="B199" s="22"/>
      <c r="C199" s="33"/>
      <c r="D199" s="33"/>
    </row>
    <row r="200" spans="1:4" ht="20.25" x14ac:dyDescent="0.25">
      <c r="A200" s="102"/>
      <c r="B200" s="22"/>
      <c r="C200" s="33"/>
      <c r="D200" s="33"/>
    </row>
    <row r="201" spans="1:4" ht="20.25" x14ac:dyDescent="0.25">
      <c r="A201" s="102"/>
      <c r="B201" s="22"/>
      <c r="C201" s="33"/>
      <c r="D201" s="33"/>
    </row>
    <row r="202" spans="1:4" ht="20.25" x14ac:dyDescent="0.25">
      <c r="A202" s="102"/>
      <c r="B202" s="22"/>
      <c r="C202" s="33"/>
      <c r="D202" s="33"/>
    </row>
    <row r="203" spans="1:4" ht="20.25" x14ac:dyDescent="0.25">
      <c r="A203" s="102"/>
      <c r="B203" s="22"/>
      <c r="C203" s="33"/>
      <c r="D203" s="33"/>
    </row>
    <row r="204" spans="1:4" ht="20.25" x14ac:dyDescent="0.25">
      <c r="A204" s="102"/>
      <c r="B204" s="22"/>
      <c r="C204" s="33"/>
      <c r="D204" s="33"/>
    </row>
    <row r="205" spans="1:4" ht="20.25" x14ac:dyDescent="0.25">
      <c r="A205" s="102"/>
      <c r="B205" s="22"/>
      <c r="C205" s="33"/>
      <c r="D205" s="33"/>
    </row>
    <row r="206" spans="1:4" ht="20.25" x14ac:dyDescent="0.25">
      <c r="A206" s="102"/>
      <c r="B206" s="22"/>
      <c r="C206" s="33"/>
      <c r="D206" s="33"/>
    </row>
    <row r="207" spans="1:4" ht="20.25" x14ac:dyDescent="0.25">
      <c r="A207" s="102"/>
      <c r="B207" s="22"/>
      <c r="C207" s="33"/>
      <c r="D207" s="33"/>
    </row>
    <row r="208" spans="1:4" x14ac:dyDescent="0.25">
      <c r="A208" s="82"/>
      <c r="B208" s="22"/>
      <c r="C208" s="22"/>
      <c r="D208" s="22"/>
    </row>
    <row r="209" spans="1:8" ht="20.25" x14ac:dyDescent="0.25">
      <c r="A209" s="82"/>
      <c r="B209" s="29" t="s">
        <v>87</v>
      </c>
      <c r="C209" s="29" t="s">
        <v>142</v>
      </c>
      <c r="D209" s="32" t="s">
        <v>87</v>
      </c>
      <c r="E209" s="32" t="s">
        <v>142</v>
      </c>
    </row>
    <row r="210" spans="1:8" ht="21" x14ac:dyDescent="0.35">
      <c r="A210" s="82"/>
      <c r="B210" s="30" t="s">
        <v>89</v>
      </c>
      <c r="C210" s="30"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82"/>
      <c r="B211" s="30" t="s">
        <v>89</v>
      </c>
      <c r="C211" s="30" t="s">
        <v>92</v>
      </c>
      <c r="E211" t="s">
        <v>57</v>
      </c>
      <c r="F211" t="str">
        <f t="shared" ref="F211:F221" si="0">IF(NOT(ISBLANK(D211)),D211,IF(NOT(ISBLANK(E211)),"     "&amp;E211,FALSE))</f>
        <v xml:space="preserve">     Afectación menor a 10 SMLMV .</v>
      </c>
    </row>
    <row r="212" spans="1:8" ht="21" x14ac:dyDescent="0.35">
      <c r="A212" s="82"/>
      <c r="B212" s="30" t="s">
        <v>89</v>
      </c>
      <c r="C212" s="30" t="s">
        <v>93</v>
      </c>
      <c r="E212" t="s">
        <v>92</v>
      </c>
      <c r="F212" t="str">
        <f t="shared" si="0"/>
        <v xml:space="preserve">     Entre 10 y 50 SMLMV </v>
      </c>
    </row>
    <row r="213" spans="1:8" ht="21" x14ac:dyDescent="0.35">
      <c r="A213" s="82"/>
      <c r="B213" s="30" t="s">
        <v>89</v>
      </c>
      <c r="C213" s="30" t="s">
        <v>94</v>
      </c>
      <c r="E213" t="s">
        <v>93</v>
      </c>
      <c r="F213" t="str">
        <f t="shared" si="0"/>
        <v xml:space="preserve">     Entre 50 y 100 SMLMV </v>
      </c>
    </row>
    <row r="214" spans="1:8" ht="21" x14ac:dyDescent="0.35">
      <c r="A214" s="82"/>
      <c r="B214" s="30" t="s">
        <v>89</v>
      </c>
      <c r="C214" s="30" t="s">
        <v>95</v>
      </c>
      <c r="E214" t="s">
        <v>94</v>
      </c>
      <c r="F214" t="str">
        <f t="shared" si="0"/>
        <v xml:space="preserve">     Entre 100 y 500 SMLMV </v>
      </c>
    </row>
    <row r="215" spans="1:8" ht="21" x14ac:dyDescent="0.35">
      <c r="A215" s="82"/>
      <c r="B215" s="30" t="s">
        <v>56</v>
      </c>
      <c r="C215" s="30" t="s">
        <v>96</v>
      </c>
      <c r="E215" t="s">
        <v>95</v>
      </c>
      <c r="F215" t="str">
        <f t="shared" si="0"/>
        <v xml:space="preserve">     Mayor a 500 SMLMV </v>
      </c>
    </row>
    <row r="216" spans="1:8" ht="21" x14ac:dyDescent="0.35">
      <c r="A216" s="82"/>
      <c r="B216" s="30" t="s">
        <v>56</v>
      </c>
      <c r="C216" s="30" t="s">
        <v>97</v>
      </c>
      <c r="D216" t="s">
        <v>56</v>
      </c>
      <c r="F216" t="str">
        <f t="shared" si="0"/>
        <v>Pérdida Reputacional</v>
      </c>
    </row>
    <row r="217" spans="1:8" ht="21" x14ac:dyDescent="0.35">
      <c r="A217" s="82"/>
      <c r="B217" s="30" t="s">
        <v>56</v>
      </c>
      <c r="C217" s="30" t="s">
        <v>99</v>
      </c>
      <c r="E217" t="s">
        <v>96</v>
      </c>
      <c r="F217" t="str">
        <f t="shared" si="0"/>
        <v xml:space="preserve">     El riesgo afecta la imagen de alguna área de la organización</v>
      </c>
    </row>
    <row r="218" spans="1:8" ht="21" x14ac:dyDescent="0.35">
      <c r="A218" s="82"/>
      <c r="B218" s="30" t="s">
        <v>56</v>
      </c>
      <c r="C218" s="30" t="s">
        <v>98</v>
      </c>
      <c r="E218" t="s">
        <v>97</v>
      </c>
      <c r="F218" t="str">
        <f t="shared" si="0"/>
        <v xml:space="preserve">     El riesgo afecta la imagen de la entidad internamente, de conocimiento general, nivel interno, de junta dircetiva y accionistas y/o de provedores</v>
      </c>
    </row>
    <row r="219" spans="1:8" ht="21" x14ac:dyDescent="0.35">
      <c r="A219" s="82"/>
      <c r="B219" s="30" t="s">
        <v>56</v>
      </c>
      <c r="C219" s="30" t="s">
        <v>117</v>
      </c>
      <c r="E219" t="s">
        <v>99</v>
      </c>
      <c r="F219" t="str">
        <f t="shared" si="0"/>
        <v xml:space="preserve">     El riesgo afecta la imagen de la entidad con algunos usuarios de relevancia frente al logro de los objetivos</v>
      </c>
    </row>
    <row r="220" spans="1:8" x14ac:dyDescent="0.25">
      <c r="A220" s="82"/>
      <c r="B220" s="31"/>
      <c r="C220" s="31"/>
      <c r="E220" t="s">
        <v>98</v>
      </c>
      <c r="F220" t="str">
        <f t="shared" si="0"/>
        <v xml:space="preserve">     El riesgo afecta la imagen de de la entidad con efecto publicitario sostenido a nivel de sector administrativo, nivel departamental o municipal</v>
      </c>
    </row>
    <row r="221" spans="1:8" x14ac:dyDescent="0.25">
      <c r="A221" s="82"/>
      <c r="B221" s="31" t="e" cm="1">
        <f t="array" aca="1" ref="B221:B223" ca="1">_xlfn.UNIQUE(Tabla1[[#All],[Criterios]])</f>
        <v>#NAME?</v>
      </c>
      <c r="C221" s="31"/>
      <c r="E221" t="s">
        <v>117</v>
      </c>
      <c r="F221" t="str">
        <f t="shared" si="0"/>
        <v xml:space="preserve">     El riesgo afecta la imagen de la entidad a nivel nacional, con efecto publicitarios sostenible a nivel país</v>
      </c>
    </row>
    <row r="222" spans="1:8" x14ac:dyDescent="0.25">
      <c r="A222" s="82"/>
      <c r="B222" s="31" t="e">
        <f ca="1"/>
        <v>#NAME?</v>
      </c>
      <c r="C222" s="31"/>
    </row>
    <row r="223" spans="1:8" x14ac:dyDescent="0.25">
      <c r="B223" s="31" t="e">
        <f ca="1"/>
        <v>#NAME?</v>
      </c>
      <c r="C223" s="31"/>
      <c r="F223" s="34" t="s">
        <v>144</v>
      </c>
    </row>
    <row r="224" spans="1:8" x14ac:dyDescent="0.25">
      <c r="B224" s="21"/>
      <c r="C224" s="21"/>
      <c r="F224" s="34" t="s">
        <v>145</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7"/>
    <col min="3" max="3" width="17" style="87" customWidth="1"/>
    <col min="4" max="4" width="14.28515625" style="87"/>
    <col min="5" max="5" width="46" style="87" customWidth="1"/>
    <col min="6" max="16384" width="14.28515625" style="87"/>
  </cols>
  <sheetData>
    <row r="1" spans="2:6" ht="24" customHeight="1" thickBot="1" x14ac:dyDescent="0.25">
      <c r="B1" s="535" t="s">
        <v>77</v>
      </c>
      <c r="C1" s="536"/>
      <c r="D1" s="536"/>
      <c r="E1" s="536"/>
      <c r="F1" s="537"/>
    </row>
    <row r="2" spans="2:6" ht="16.5" thickBot="1" x14ac:dyDescent="0.3">
      <c r="B2" s="88"/>
      <c r="C2" s="88"/>
      <c r="D2" s="88"/>
      <c r="E2" s="88"/>
      <c r="F2" s="88"/>
    </row>
    <row r="3" spans="2:6" ht="16.5" thickBot="1" x14ac:dyDescent="0.25">
      <c r="B3" s="539" t="s">
        <v>63</v>
      </c>
      <c r="C3" s="540"/>
      <c r="D3" s="540"/>
      <c r="E3" s="100" t="s">
        <v>64</v>
      </c>
      <c r="F3" s="101" t="s">
        <v>65</v>
      </c>
    </row>
    <row r="4" spans="2:6" ht="31.5" x14ac:dyDescent="0.2">
      <c r="B4" s="541" t="s">
        <v>66</v>
      </c>
      <c r="C4" s="543" t="s">
        <v>13</v>
      </c>
      <c r="D4" s="89" t="s">
        <v>14</v>
      </c>
      <c r="E4" s="90" t="s">
        <v>67</v>
      </c>
      <c r="F4" s="91">
        <v>0.25</v>
      </c>
    </row>
    <row r="5" spans="2:6" ht="47.25" x14ac:dyDescent="0.2">
      <c r="B5" s="542"/>
      <c r="C5" s="544"/>
      <c r="D5" s="92" t="s">
        <v>15</v>
      </c>
      <c r="E5" s="93" t="s">
        <v>68</v>
      </c>
      <c r="F5" s="94">
        <v>0.15</v>
      </c>
    </row>
    <row r="6" spans="2:6" ht="47.25" x14ac:dyDescent="0.2">
      <c r="B6" s="542"/>
      <c r="C6" s="544"/>
      <c r="D6" s="92" t="s">
        <v>16</v>
      </c>
      <c r="E6" s="93" t="s">
        <v>69</v>
      </c>
      <c r="F6" s="94">
        <v>0.1</v>
      </c>
    </row>
    <row r="7" spans="2:6" ht="63" x14ac:dyDescent="0.2">
      <c r="B7" s="542"/>
      <c r="C7" s="544" t="s">
        <v>17</v>
      </c>
      <c r="D7" s="92" t="s">
        <v>10</v>
      </c>
      <c r="E7" s="93" t="s">
        <v>70</v>
      </c>
      <c r="F7" s="94">
        <v>0.25</v>
      </c>
    </row>
    <row r="8" spans="2:6" ht="31.5" x14ac:dyDescent="0.2">
      <c r="B8" s="542"/>
      <c r="C8" s="544"/>
      <c r="D8" s="92" t="s">
        <v>9</v>
      </c>
      <c r="E8" s="93" t="s">
        <v>71</v>
      </c>
      <c r="F8" s="94">
        <v>0.15</v>
      </c>
    </row>
    <row r="9" spans="2:6" ht="47.25" x14ac:dyDescent="0.2">
      <c r="B9" s="542" t="s">
        <v>159</v>
      </c>
      <c r="C9" s="544" t="s">
        <v>18</v>
      </c>
      <c r="D9" s="92" t="s">
        <v>19</v>
      </c>
      <c r="E9" s="93" t="s">
        <v>72</v>
      </c>
      <c r="F9" s="95" t="s">
        <v>73</v>
      </c>
    </row>
    <row r="10" spans="2:6" ht="63" x14ac:dyDescent="0.2">
      <c r="B10" s="542"/>
      <c r="C10" s="544"/>
      <c r="D10" s="92" t="s">
        <v>20</v>
      </c>
      <c r="E10" s="93" t="s">
        <v>74</v>
      </c>
      <c r="F10" s="95" t="s">
        <v>73</v>
      </c>
    </row>
    <row r="11" spans="2:6" ht="47.25" x14ac:dyDescent="0.2">
      <c r="B11" s="542"/>
      <c r="C11" s="544" t="s">
        <v>21</v>
      </c>
      <c r="D11" s="92" t="s">
        <v>22</v>
      </c>
      <c r="E11" s="93" t="s">
        <v>75</v>
      </c>
      <c r="F11" s="95" t="s">
        <v>73</v>
      </c>
    </row>
    <row r="12" spans="2:6" ht="47.25" x14ac:dyDescent="0.2">
      <c r="B12" s="542"/>
      <c r="C12" s="544"/>
      <c r="D12" s="92" t="s">
        <v>23</v>
      </c>
      <c r="E12" s="93" t="s">
        <v>76</v>
      </c>
      <c r="F12" s="95" t="s">
        <v>73</v>
      </c>
    </row>
    <row r="13" spans="2:6" ht="31.5" x14ac:dyDescent="0.2">
      <c r="B13" s="542"/>
      <c r="C13" s="544" t="s">
        <v>24</v>
      </c>
      <c r="D13" s="92" t="s">
        <v>118</v>
      </c>
      <c r="E13" s="93" t="s">
        <v>121</v>
      </c>
      <c r="F13" s="95" t="s">
        <v>73</v>
      </c>
    </row>
    <row r="14" spans="2:6" ht="32.25" thickBot="1" x14ac:dyDescent="0.25">
      <c r="B14" s="545"/>
      <c r="C14" s="546"/>
      <c r="D14" s="96" t="s">
        <v>119</v>
      </c>
      <c r="E14" s="97" t="s">
        <v>120</v>
      </c>
      <c r="F14" s="98" t="s">
        <v>73</v>
      </c>
    </row>
    <row r="15" spans="2:6" ht="49.5" customHeight="1" x14ac:dyDescent="0.2">
      <c r="B15" s="538" t="s">
        <v>156</v>
      </c>
      <c r="C15" s="538"/>
      <c r="D15" s="538"/>
      <c r="E15" s="538"/>
      <c r="F15" s="538"/>
    </row>
    <row r="16" spans="2:6" ht="27" customHeight="1" x14ac:dyDescent="0.25">
      <c r="B16" s="9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39</v>
      </c>
    </row>
    <row r="21" spans="1:1" x14ac:dyDescent="0.2">
      <c r="A21" s="9"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2024-09-13T20:25:41Z</dcterms:modified>
</cp:coreProperties>
</file>